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qrysGJmP-nQ5H_VvKVsotkOeCl6aAVqS\Lake Elmo Aero\Flight Training\Aircraft\Arrow N5083S\"/>
    </mc:Choice>
  </mc:AlternateContent>
  <xr:revisionPtr revIDLastSave="0" documentId="13_ncr:1_{B059E5AC-10AA-4291-9416-30FBCC59B8D2}" xr6:coauthVersionLast="47" xr6:coauthVersionMax="47" xr10:uidLastSave="{00000000-0000-0000-0000-000000000000}"/>
  <bookViews>
    <workbookView xWindow="-108" yWindow="-108" windowWidth="34752" windowHeight="18960" tabRatio="474" xr2:uid="{00000000-000D-0000-FFFF-FFFF00000000}"/>
  </bookViews>
  <sheets>
    <sheet name="W&amp;B" sheetId="1" r:id="rId1"/>
  </sheets>
  <definedNames>
    <definedName name="_xlnm.Print_Area" localSheetId="0">'W&amp;B'!$B$2:$F$61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D19" i="1" l="1"/>
  <c r="D14" i="1"/>
  <c r="B2" i="1" l="1"/>
  <c r="E13" i="1"/>
  <c r="F14" i="1"/>
  <c r="D15" i="1"/>
  <c r="F15" i="1" s="1"/>
  <c r="D16" i="1"/>
  <c r="F16" i="1" s="1"/>
  <c r="F17" i="1"/>
  <c r="F19" i="1"/>
  <c r="F28" i="1"/>
  <c r="F29" i="1"/>
  <c r="C30" i="1"/>
  <c r="D30" i="1"/>
  <c r="C31" i="1"/>
  <c r="D31" i="1"/>
  <c r="D32" i="1" s="1"/>
  <c r="F31" i="1"/>
  <c r="C32" i="1"/>
  <c r="F32" i="1"/>
  <c r="F18" i="1" l="1"/>
  <c r="D18" i="1"/>
  <c r="B11" i="1" l="1"/>
  <c r="D20" i="1"/>
  <c r="E18" i="1"/>
  <c r="F20" i="1"/>
  <c r="E20" i="1" l="1"/>
</calcChain>
</file>

<file path=xl/sharedStrings.xml><?xml version="1.0" encoding="utf-8"?>
<sst xmlns="http://schemas.openxmlformats.org/spreadsheetml/2006/main" count="46" uniqueCount="44">
  <si>
    <t>Item</t>
  </si>
  <si>
    <t>Weight</t>
  </si>
  <si>
    <t>Arm</t>
  </si>
  <si>
    <t>Moment</t>
  </si>
  <si>
    <t>Aircraft Licensed Empty Weight</t>
  </si>
  <si>
    <t>Seat Occupancy Table:</t>
  </si>
  <si>
    <t>Pilot:</t>
  </si>
  <si>
    <t>Front Seats</t>
  </si>
  <si>
    <t>Copilot:</t>
  </si>
  <si>
    <t>Rear Seats</t>
  </si>
  <si>
    <t>Rear Left:</t>
  </si>
  <si>
    <t>Baggage Area  (200lbs Max)</t>
  </si>
  <si>
    <t>Rear Right:</t>
  </si>
  <si>
    <t>Remaining Useful Load:</t>
  </si>
  <si>
    <t>USAGE:</t>
  </si>
  <si>
    <t>Fill out the areas in Yellow</t>
  </si>
  <si>
    <t>Normal Category</t>
  </si>
  <si>
    <t>Utility Category</t>
  </si>
  <si>
    <t>Center of Gravity</t>
  </si>
  <si>
    <t>Weather Information:</t>
  </si>
  <si>
    <t>Field Elevation:</t>
  </si>
  <si>
    <t>Temperature  C:</t>
  </si>
  <si>
    <t>Dew Point C:</t>
  </si>
  <si>
    <t>Altimeter Setting:</t>
  </si>
  <si>
    <t>Wind Direction:</t>
  </si>
  <si>
    <t>Wind Speed:</t>
  </si>
  <si>
    <t>Runway Heading:</t>
  </si>
  <si>
    <t>Relative Humidity:</t>
  </si>
  <si>
    <t>Pressure Altitude:</t>
  </si>
  <si>
    <t>Density Altitude:</t>
  </si>
  <si>
    <t>Departure</t>
  </si>
  <si>
    <t>Destination</t>
  </si>
  <si>
    <t>Soft Field? Y or N:</t>
  </si>
  <si>
    <t>Departure Total</t>
  </si>
  <si>
    <t>Estimated Fuel Burn</t>
  </si>
  <si>
    <t>Destination Total</t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</si>
  <si>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</si>
  <si>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X-Wind: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</si>
  <si>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</si>
  <si>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X-Wind:</t>
    </r>
  </si>
  <si>
    <t>1971 Piper PA28R-200 N5083S</t>
  </si>
  <si>
    <t>*FOR PLANNING PURPOSES ONLY, VEIFY WEIGHT AND BALANCE BEFORE FLIGHT*</t>
  </si>
  <si>
    <t>*FOR PLANNING PURPOSES ONLY, VERIFY WEIGHT AND BALANCE BEFORE FLIGHT*</t>
  </si>
  <si>
    <t>Fuel (48 Gallons 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</si>
</sst>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#%"/>
    <numFmt numFmtId="166" formatCode="0&quot; Ft&quot;."/>
    <numFmt numFmtId="167" formatCode="0&quot;  KT&quot;"/>
    <numFmt numFmtId="168" formatCode="0&quot; gal&quot;"/>
    <numFmt numFmtId="169" formatCode="[$-F800]dddd\,\ mmmm\ dd\,\ yyyy"/>
  </numFmts>
  <fonts count="14">
    <font>
      <sz val="9"/>
      <name val="Geneva"/>
      <family val="2"/>
    </font>
    <font>
      <b/>
      <sz val="12"/>
      <name val="Geneva"/>
      <family val="2"/>
    </font>
    <font>
      <b/>
      <sz val="9"/>
      <name val="Geneva"/>
      <family val="2"/>
    </font>
    <font>
      <b/>
      <sz val="9"/>
      <color indexed="9"/>
      <name val="Geneva"/>
      <family val="2"/>
    </font>
    <font>
      <b/>
      <sz val="9"/>
      <color indexed="16"/>
      <name val="Geneva"/>
      <family val="2"/>
    </font>
    <font>
      <sz val="9"/>
      <name val="Geneva"/>
      <family val="2"/>
    </font>
    <font>
      <b/>
      <u/>
      <sz val="9"/>
      <name val="Geneva"/>
    </font>
    <font>
      <sz val="9"/>
      <name val="Geneva"/>
    </font>
    <font>
      <u/>
      <sz val="9"/>
      <name val="Geneva"/>
    </font>
    <font>
      <b/>
      <sz val="9"/>
      <name val="Geneva"/>
    </font>
    <font>
      <b/>
      <u/>
      <sz val="9"/>
      <name val="Geneva"/>
      <family val="2"/>
    </font>
    <font>
      <sz val="9"/>
      <color theme="1"/>
      <name val="Geneva"/>
      <family val="2"/>
    </font>
    <font>
      <b/>
      <sz val="11"/>
      <color rgb="FFFF0000"/>
      <name val="Geneva"/>
    </font>
    <font>
      <b/>
      <sz val="16"/>
      <color rgb="FFFF0000"/>
      <name val="Geneva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002060"/>
        <bgColor indexed="37"/>
      </patternFill>
    </fill>
    <fill>
      <patternFill patternType="solid">
        <fgColor rgb="FFFFFF99"/>
        <bgColor rgb="FFFFFFCC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ill="0" applyBorder="0" applyAlignment="0" applyProtection="0"/>
  </cellStyleXfs>
  <cellXfs count="76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2" fillId="3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4" fontId="5" fillId="4" borderId="0" xfId="1" applyNumberFormat="1" applyFill="1" applyBorder="1" applyAlignment="1" applyProtection="1">
      <alignment horizontal="center" vertical="center"/>
    </xf>
    <xf numFmtId="4" fontId="5" fillId="4" borderId="3" xfId="1" applyNumberFormat="1" applyFill="1" applyBorder="1" applyAlignment="1" applyProtection="1">
      <alignment horizontal="center" vertical="center"/>
    </xf>
    <xf numFmtId="0" fontId="10" fillId="4" borderId="2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2" fontId="0" fillId="4" borderId="0" xfId="0" applyNumberFormat="1" applyFill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right" vertical="center"/>
    </xf>
    <xf numFmtId="165" fontId="0" fillId="4" borderId="0" xfId="0" applyNumberForma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6" fontId="2" fillId="4" borderId="5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right" vertical="center"/>
    </xf>
    <xf numFmtId="166" fontId="2" fillId="4" borderId="3" xfId="0" applyNumberFormat="1" applyFont="1" applyFill="1" applyBorder="1" applyAlignment="1">
      <alignment horizontal="center" vertical="center"/>
    </xf>
    <xf numFmtId="166" fontId="0" fillId="4" borderId="3" xfId="0" applyNumberFormat="1" applyFill="1" applyBorder="1" applyAlignment="1">
      <alignment horizontal="center" vertical="center"/>
    </xf>
    <xf numFmtId="0" fontId="7" fillId="4" borderId="0" xfId="0" applyFont="1" applyFill="1" applyAlignment="1">
      <alignment horizontal="right" vertical="center"/>
    </xf>
    <xf numFmtId="167" fontId="2" fillId="4" borderId="3" xfId="0" applyNumberFormat="1" applyFont="1" applyFill="1" applyBorder="1" applyAlignment="1">
      <alignment horizontal="left" vertical="center"/>
    </xf>
    <xf numFmtId="167" fontId="9" fillId="4" borderId="3" xfId="0" applyNumberFormat="1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right" vertical="center"/>
    </xf>
    <xf numFmtId="167" fontId="9" fillId="4" borderId="6" xfId="0" applyNumberFormat="1" applyFont="1" applyFill="1" applyBorder="1" applyAlignment="1">
      <alignment horizontal="left" vertical="center"/>
    </xf>
    <xf numFmtId="4" fontId="9" fillId="0" borderId="0" xfId="1" applyNumberFormat="1" applyFont="1" applyFill="1" applyBorder="1" applyAlignment="1" applyProtection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11" fillId="4" borderId="0" xfId="1" applyNumberFormat="1" applyFont="1" applyFill="1" applyBorder="1" applyAlignment="1" applyProtection="1">
      <alignment horizontal="center" vertical="center"/>
    </xf>
    <xf numFmtId="4" fontId="11" fillId="4" borderId="3" xfId="1" applyNumberFormat="1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</xf>
    <xf numFmtId="168" fontId="2" fillId="7" borderId="1" xfId="0" applyNumberFormat="1" applyFont="1" applyFill="1" applyBorder="1" applyAlignment="1" applyProtection="1">
      <alignment horizontal="center" vertical="center"/>
      <protection locked="0"/>
    </xf>
    <xf numFmtId="168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168" fontId="2" fillId="8" borderId="16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textRotation="180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69" fontId="1" fillId="5" borderId="7" xfId="0" applyNumberFormat="1" applyFont="1" applyFill="1" applyBorder="1" applyAlignment="1">
      <alignment horizontal="center" vertical="center"/>
    </xf>
    <xf numFmtId="169" fontId="1" fillId="5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5"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52557957172161"/>
          <c:y val="0.15061756794259976"/>
          <c:w val="0.8005541768371941"/>
          <c:h val="0.707552295916398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'W&amp;B'!$C$36</c:f>
              <c:strCache>
                <c:ptCount val="1"/>
                <c:pt idx="0">
                  <c:v>Normal Category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'W&amp;B'!$C$37:$C$42</c:f>
              <c:numCache>
                <c:formatCode>General</c:formatCode>
                <c:ptCount val="6"/>
                <c:pt idx="0">
                  <c:v>81</c:v>
                </c:pt>
                <c:pt idx="1">
                  <c:v>81</c:v>
                </c:pt>
                <c:pt idx="2">
                  <c:v>86</c:v>
                </c:pt>
                <c:pt idx="3">
                  <c:v>90</c:v>
                </c:pt>
                <c:pt idx="4">
                  <c:v>95.9</c:v>
                </c:pt>
                <c:pt idx="5">
                  <c:v>95.9</c:v>
                </c:pt>
              </c:numCache>
            </c:numRef>
          </c:xVal>
          <c:yVal>
            <c:numRef>
              <c:f>'W&amp;B'!$D$37:$D$42</c:f>
              <c:numCache>
                <c:formatCode>General</c:formatCode>
                <c:ptCount val="6"/>
                <c:pt idx="0">
                  <c:v>1200</c:v>
                </c:pt>
                <c:pt idx="1">
                  <c:v>1925</c:v>
                </c:pt>
                <c:pt idx="2">
                  <c:v>2300</c:v>
                </c:pt>
                <c:pt idx="3">
                  <c:v>2600</c:v>
                </c:pt>
                <c:pt idx="4">
                  <c:v>2600</c:v>
                </c:pt>
                <c:pt idx="5">
                  <c:v>1200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6F-4A0D-9602-396DE4CD502F}"/>
            </c:ext>
          </c:extLst>
        </c:ser>
        <c:ser>
          <c:idx val="2"/>
          <c:order val="1"/>
          <c:tx>
            <c:v>Departure CG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'W&amp;B'!$E$18:$E$18</c:f>
              <c:numCache>
                <c:formatCode>#,##0.00</c:formatCode>
                <c:ptCount val="1"/>
                <c:pt idx="0">
                  <c:v>86.028294270833328</c:v>
                </c:pt>
              </c:numCache>
            </c:numRef>
          </c:xVal>
          <c:yVal>
            <c:numRef>
              <c:f>'W&amp;B'!$D$18:$D$18</c:f>
              <c:numCache>
                <c:formatCode>#,##0.00</c:formatCode>
                <c:ptCount val="1"/>
                <c:pt idx="0">
                  <c:v>1536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6F-4A0D-9602-396DE4CD502F}"/>
            </c:ext>
          </c:extLst>
        </c:ser>
        <c:ser>
          <c:idx val="1"/>
          <c:order val="2"/>
          <c:tx>
            <c:v>Destination CG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'W&amp;B'!$E$20</c:f>
              <c:numCache>
                <c:formatCode>0.00</c:formatCode>
                <c:ptCount val="1"/>
                <c:pt idx="0">
                  <c:v>86.028294270833328</c:v>
                </c:pt>
              </c:numCache>
            </c:numRef>
          </c:xVal>
          <c:yVal>
            <c:numRef>
              <c:f>'W&amp;B'!$D$20</c:f>
              <c:numCache>
                <c:formatCode>#,##0.00</c:formatCode>
                <c:ptCount val="1"/>
                <c:pt idx="0">
                  <c:v>1536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86F-4A0D-9602-396DE4CD5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824687"/>
        <c:axId val="1"/>
      </c:scatterChart>
      <c:valAx>
        <c:axId val="679824687"/>
        <c:scaling>
          <c:orientation val="minMax"/>
          <c:max val="98"/>
          <c:min val="7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36196672175237354"/>
              <c:y val="0.919467600953550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At val="950"/>
        <c:crossBetween val="midCat"/>
        <c:majorUnit val="1"/>
        <c:minorUnit val="1"/>
      </c:valAx>
      <c:valAx>
        <c:axId val="1"/>
        <c:scaling>
          <c:orientation val="minMax"/>
          <c:max val="28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6.0768121577395418E-2"/>
              <c:y val="0.392306099352259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824687"/>
        <c:crossesAt val="0"/>
        <c:crossBetween val="midCat"/>
        <c:majorUnit val="100"/>
        <c:minorUnit val="2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5444</xdr:colOff>
      <xdr:row>32</xdr:row>
      <xdr:rowOff>10886</xdr:rowOff>
    </xdr:from>
    <xdr:to>
      <xdr:col>5</xdr:col>
      <xdr:colOff>1371600</xdr:colOff>
      <xdr:row>59</xdr:row>
      <xdr:rowOff>152400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19600ADB-9549-4151-AE03-0578DB65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628650</xdr:colOff>
      <xdr:row>2</xdr:row>
      <xdr:rowOff>28575</xdr:rowOff>
    </xdr:from>
    <xdr:to>
      <xdr:col>5</xdr:col>
      <xdr:colOff>809625</xdr:colOff>
      <xdr:row>10</xdr:row>
      <xdr:rowOff>114300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70620C6F-C089-485B-B61E-1B1394B4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95275"/>
          <a:ext cx="20764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0.15797</cdr:x>
      <cdr:y>0.83222</cdr:y>
    </cdr:from>
    <cdr:to>
      <cdr:x>0.16098</cdr:x>
      <cdr:y>0.87008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5046" y="344026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61"/>
  <sheetViews>
    <sheetView tabSelected="1" zoomScaleNormal="100" workbookViewId="0">
      <selection activeCell="C24" sqref="C24"/>
    </sheetView>
  </sheetViews>
  <sheetFormatPr defaultColWidth="11.375" defaultRowHeight="11.4"/>
  <cols>
    <col min="1" max="1" width="6.75" customWidth="1"/>
    <col min="2" max="2" width="30.75" customWidth="1"/>
    <col min="3" max="3" width="12.75" customWidth="1"/>
    <col min="4" max="4" width="12.75" style="6" customWidth="1"/>
    <col min="5" max="5" width="15.75" style="6" customWidth="1"/>
    <col min="6" max="6" width="20.75" style="6" customWidth="1"/>
    <col min="7" max="7" width="6.75" customWidth="1"/>
    <col min="8" max="8" width="10.75" customWidth="1"/>
    <col min="9" max="9" width="19.75" customWidth="1"/>
    <col min="10" max="11" width="10.75" customWidth="1"/>
    <col min="12" max="12" width="20.75" customWidth="1"/>
    <col min="13" max="13" width="12.75" customWidth="1"/>
  </cols>
  <sheetData>
    <row r="1" spans="1:8" ht="21" customHeight="1" thickBot="1">
      <c r="A1" s="57" t="s">
        <v>41</v>
      </c>
      <c r="B1" s="58"/>
      <c r="C1" s="58"/>
      <c r="D1" s="58"/>
      <c r="E1" s="58"/>
      <c r="F1" s="58"/>
      <c r="G1" s="59"/>
    </row>
    <row r="2" spans="1:8" ht="21" customHeight="1" thickBot="1">
      <c r="A2" s="63" t="s">
        <v>42</v>
      </c>
      <c r="B2" s="66">
        <f ca="1">NOW()</f>
        <v>44784.747345601849</v>
      </c>
      <c r="C2" s="67"/>
      <c r="D2" s="64" t="s">
        <v>40</v>
      </c>
      <c r="E2" s="64"/>
      <c r="F2" s="65"/>
      <c r="G2" s="56" t="s">
        <v>42</v>
      </c>
    </row>
    <row r="3" spans="1:8" ht="11.85" customHeight="1">
      <c r="A3" s="63"/>
      <c r="B3" s="68" t="s">
        <v>14</v>
      </c>
      <c r="C3" s="69"/>
      <c r="D3" s="3"/>
      <c r="E3" s="3"/>
      <c r="F3" s="4"/>
      <c r="G3" s="56"/>
    </row>
    <row r="4" spans="1:8" ht="11.85" customHeight="1" thickBot="1">
      <c r="A4" s="63"/>
      <c r="B4" s="72" t="s">
        <v>15</v>
      </c>
      <c r="C4" s="73"/>
      <c r="D4" s="3"/>
      <c r="E4" s="3"/>
      <c r="F4" s="4"/>
      <c r="G4" s="56"/>
    </row>
    <row r="5" spans="1:8" ht="11.85" customHeight="1">
      <c r="A5" s="63"/>
      <c r="B5" s="17" t="s">
        <v>5</v>
      </c>
      <c r="C5" s="19"/>
      <c r="D5" s="3"/>
      <c r="E5" s="3"/>
      <c r="F5" s="4"/>
      <c r="G5" s="56"/>
    </row>
    <row r="6" spans="1:8" ht="11.85" customHeight="1">
      <c r="A6" s="63"/>
      <c r="B6" s="18" t="s">
        <v>6</v>
      </c>
      <c r="C6" s="49"/>
      <c r="D6" s="3"/>
      <c r="E6" s="3"/>
      <c r="F6" s="4"/>
      <c r="G6" s="56"/>
    </row>
    <row r="7" spans="1:8" ht="11.85" customHeight="1">
      <c r="A7" s="63"/>
      <c r="B7" s="18" t="s">
        <v>8</v>
      </c>
      <c r="C7" s="49"/>
      <c r="D7" s="3"/>
      <c r="E7" s="3"/>
      <c r="F7" s="4"/>
      <c r="G7" s="56"/>
    </row>
    <row r="8" spans="1:8" ht="11.85" customHeight="1">
      <c r="A8" s="63"/>
      <c r="B8" s="18" t="s">
        <v>10</v>
      </c>
      <c r="C8" s="49"/>
      <c r="D8" s="3"/>
      <c r="E8" s="3"/>
      <c r="F8" s="4"/>
      <c r="G8" s="56"/>
    </row>
    <row r="9" spans="1:8" ht="11.85" customHeight="1" thickBot="1">
      <c r="A9" s="63"/>
      <c r="B9" s="18" t="s">
        <v>12</v>
      </c>
      <c r="C9" s="50"/>
      <c r="D9" s="3"/>
      <c r="E9" s="3"/>
      <c r="F9" s="4"/>
      <c r="G9" s="56"/>
    </row>
    <row r="10" spans="1:8" ht="11.85" customHeight="1">
      <c r="A10" s="63"/>
      <c r="B10" s="74" t="s">
        <v>13</v>
      </c>
      <c r="C10" s="75"/>
      <c r="D10" s="3"/>
      <c r="E10" s="3"/>
      <c r="F10" s="4"/>
      <c r="G10" s="56"/>
    </row>
    <row r="11" spans="1:8" s="16" customFormat="1" ht="11.85" customHeight="1" thickBot="1">
      <c r="A11" s="63"/>
      <c r="B11" s="70">
        <f>D40-D18</f>
        <v>1064</v>
      </c>
      <c r="C11" s="71"/>
      <c r="D11" s="3"/>
      <c r="E11" s="3"/>
      <c r="F11" s="4"/>
      <c r="G11" s="56"/>
    </row>
    <row r="12" spans="1:8" ht="11.85" customHeight="1">
      <c r="A12" s="63"/>
      <c r="B12" s="26" t="s">
        <v>0</v>
      </c>
      <c r="C12" s="28"/>
      <c r="D12" s="28" t="s">
        <v>1</v>
      </c>
      <c r="E12" s="28" t="s">
        <v>2</v>
      </c>
      <c r="F12" s="51" t="s">
        <v>3</v>
      </c>
      <c r="G12" s="56"/>
      <c r="H12" s="16"/>
    </row>
    <row r="13" spans="1:8" ht="11.85" customHeight="1">
      <c r="A13" s="63"/>
      <c r="B13" s="20" t="s">
        <v>4</v>
      </c>
      <c r="C13" s="3"/>
      <c r="D13" s="21">
        <v>1536</v>
      </c>
      <c r="E13" s="47">
        <f>F13/D13</f>
        <v>86.028294270833328</v>
      </c>
      <c r="F13" s="22">
        <v>132139.46</v>
      </c>
      <c r="G13" s="56"/>
      <c r="H13" s="16"/>
    </row>
    <row r="14" spans="1:8" ht="11.85" customHeight="1">
      <c r="A14" s="63"/>
      <c r="B14" s="20" t="s">
        <v>43</v>
      </c>
      <c r="C14" s="52">
        <v>0</v>
      </c>
      <c r="D14" s="47">
        <f>6.01*C14</f>
        <v>0</v>
      </c>
      <c r="E14" s="21">
        <v>95</v>
      </c>
      <c r="F14" s="48">
        <f>D14*E14</f>
        <v>0</v>
      </c>
      <c r="G14" s="56"/>
      <c r="H14" s="16"/>
    </row>
    <row r="15" spans="1:8" ht="11.85" customHeight="1">
      <c r="A15" s="63"/>
      <c r="B15" s="20" t="s">
        <v>7</v>
      </c>
      <c r="C15" s="3"/>
      <c r="D15" s="14">
        <f>SUM(C6,C7)</f>
        <v>0</v>
      </c>
      <c r="E15" s="21">
        <v>85.5</v>
      </c>
      <c r="F15" s="48">
        <f>D15*E15</f>
        <v>0</v>
      </c>
      <c r="G15" s="56"/>
    </row>
    <row r="16" spans="1:8" ht="11.85" customHeight="1">
      <c r="A16" s="63"/>
      <c r="B16" s="20" t="s">
        <v>9</v>
      </c>
      <c r="C16" s="3"/>
      <c r="D16" s="14">
        <f>SUM(C8,C9)</f>
        <v>0</v>
      </c>
      <c r="E16" s="21">
        <v>118.1</v>
      </c>
      <c r="F16" s="48">
        <f>D16*E16</f>
        <v>0</v>
      </c>
      <c r="G16" s="56"/>
    </row>
    <row r="17" spans="1:7" ht="11.85" customHeight="1">
      <c r="A17" s="63"/>
      <c r="B17" s="20" t="s">
        <v>11</v>
      </c>
      <c r="C17" s="3"/>
      <c r="D17" s="15"/>
      <c r="E17" s="21">
        <v>142.80000000000001</v>
      </c>
      <c r="F17" s="48">
        <f>D17*E17</f>
        <v>0</v>
      </c>
      <c r="G17" s="56"/>
    </row>
    <row r="18" spans="1:7" ht="11.85" customHeight="1">
      <c r="A18" s="63"/>
      <c r="B18" s="23" t="s">
        <v>33</v>
      </c>
      <c r="C18" s="3"/>
      <c r="D18" s="42">
        <f>SUM(D13:D17)</f>
        <v>1536</v>
      </c>
      <c r="E18" s="42">
        <f>F18/D18</f>
        <v>86.028294270833328</v>
      </c>
      <c r="F18" s="43">
        <f>SUM(F13:F17)</f>
        <v>132139.46</v>
      </c>
      <c r="G18" s="56"/>
    </row>
    <row r="19" spans="1:7" ht="11.85" customHeight="1">
      <c r="A19" s="63"/>
      <c r="B19" s="20" t="s">
        <v>34</v>
      </c>
      <c r="C19" s="53">
        <v>0</v>
      </c>
      <c r="D19" s="47">
        <f>6.01*C19</f>
        <v>0</v>
      </c>
      <c r="E19" s="25">
        <v>95</v>
      </c>
      <c r="F19" s="4">
        <f>D19*E19</f>
        <v>0</v>
      </c>
      <c r="G19" s="56"/>
    </row>
    <row r="20" spans="1:7" ht="11.85" customHeight="1" thickBot="1">
      <c r="A20" s="63"/>
      <c r="B20" s="24" t="s">
        <v>35</v>
      </c>
      <c r="C20" s="55">
        <f>C14-C19</f>
        <v>0</v>
      </c>
      <c r="D20" s="46">
        <f>D18-D19</f>
        <v>1536</v>
      </c>
      <c r="E20" s="45">
        <f>F20/D20</f>
        <v>86.028294270833328</v>
      </c>
      <c r="F20" s="44">
        <f>F18-F19</f>
        <v>132139.46</v>
      </c>
      <c r="G20" s="56"/>
    </row>
    <row r="21" spans="1:7" ht="21" customHeight="1">
      <c r="A21" s="63"/>
      <c r="B21" s="26" t="s">
        <v>19</v>
      </c>
      <c r="C21" s="54" t="s">
        <v>30</v>
      </c>
      <c r="D21" s="27" t="s">
        <v>31</v>
      </c>
      <c r="E21" s="28"/>
      <c r="F21" s="29"/>
      <c r="G21" s="56"/>
    </row>
    <row r="22" spans="1:7" ht="11.85" customHeight="1">
      <c r="A22" s="63"/>
      <c r="B22" s="18" t="s">
        <v>20</v>
      </c>
      <c r="C22" s="1"/>
      <c r="D22" s="1"/>
      <c r="E22" s="34"/>
      <c r="F22" s="35"/>
      <c r="G22" s="56"/>
    </row>
    <row r="23" spans="1:7" ht="11.85" customHeight="1">
      <c r="A23" s="63"/>
      <c r="B23" s="18" t="s">
        <v>21</v>
      </c>
      <c r="C23" s="1"/>
      <c r="D23" s="1"/>
      <c r="E23" s="34"/>
      <c r="F23" s="35"/>
      <c r="G23" s="56"/>
    </row>
    <row r="24" spans="1:7" ht="11.85" customHeight="1">
      <c r="A24" s="63"/>
      <c r="B24" s="18" t="s">
        <v>22</v>
      </c>
      <c r="C24" s="1"/>
      <c r="D24" s="1"/>
      <c r="E24" s="34"/>
      <c r="F24" s="36"/>
      <c r="G24" s="56"/>
    </row>
    <row r="25" spans="1:7" ht="11.85" customHeight="1">
      <c r="A25" s="63"/>
      <c r="B25" s="18" t="s">
        <v>23</v>
      </c>
      <c r="C25" s="1"/>
      <c r="D25" s="1"/>
      <c r="E25" s="34"/>
      <c r="F25" s="35"/>
      <c r="G25" s="56"/>
    </row>
    <row r="26" spans="1:7" ht="11.85" customHeight="1">
      <c r="A26" s="63"/>
      <c r="B26" s="18" t="s">
        <v>24</v>
      </c>
      <c r="C26" s="1"/>
      <c r="D26" s="1"/>
      <c r="E26" s="34"/>
      <c r="F26" s="35"/>
      <c r="G26" s="56"/>
    </row>
    <row r="27" spans="1:7" ht="11.85" customHeight="1">
      <c r="A27" s="63"/>
      <c r="B27" s="18" t="s">
        <v>25</v>
      </c>
      <c r="C27" s="1"/>
      <c r="D27" s="1"/>
      <c r="E27" s="34"/>
      <c r="F27" s="4"/>
      <c r="G27" s="56"/>
    </row>
    <row r="28" spans="1:7" ht="11.85" customHeight="1">
      <c r="A28" s="63"/>
      <c r="B28" s="18" t="s">
        <v>26</v>
      </c>
      <c r="C28" s="1"/>
      <c r="D28" s="1"/>
      <c r="E28" s="37" t="s">
        <v>36</v>
      </c>
      <c r="F28" s="38">
        <f>C27*COS(RADIANS(ABS(C26-C28)))</f>
        <v>0</v>
      </c>
      <c r="G28" s="56"/>
    </row>
    <row r="29" spans="1:7" ht="11.85" customHeight="1">
      <c r="A29" s="63"/>
      <c r="B29" s="18" t="s">
        <v>32</v>
      </c>
      <c r="C29" s="2"/>
      <c r="D29" s="2"/>
      <c r="E29" s="37" t="s">
        <v>37</v>
      </c>
      <c r="F29" s="38">
        <f>C27*SIN(RADIANS(ABS(C28-C26)))</f>
        <v>0</v>
      </c>
      <c r="G29" s="56"/>
    </row>
    <row r="30" spans="1:7" ht="11.85" customHeight="1">
      <c r="A30" s="63"/>
      <c r="B30" s="18" t="s">
        <v>27</v>
      </c>
      <c r="C30" s="31">
        <f>(((112-0.1*C23)+C24)/(112+(0.9*C23)))^8</f>
        <v>1</v>
      </c>
      <c r="D30" s="31">
        <f>(((112-0.1*D23)+D24)/(112+(0.9*D23)))^8</f>
        <v>1</v>
      </c>
      <c r="E30" s="34"/>
      <c r="F30" s="38"/>
      <c r="G30" s="56"/>
    </row>
    <row r="31" spans="1:7" ht="11.85" customHeight="1">
      <c r="A31" s="63"/>
      <c r="B31" s="18" t="s">
        <v>28</v>
      </c>
      <c r="C31" s="32">
        <f>(29.92-C25)*1000+C22</f>
        <v>29920</v>
      </c>
      <c r="D31" s="32">
        <f>(29.92-D25)*1000+D22</f>
        <v>29920</v>
      </c>
      <c r="E31" s="37" t="s">
        <v>38</v>
      </c>
      <c r="F31" s="39">
        <f>D27*COS(RADIANS(ABS(D26-D28)))</f>
        <v>0</v>
      </c>
      <c r="G31" s="56"/>
    </row>
    <row r="32" spans="1:7" ht="11.85" customHeight="1" thickBot="1">
      <c r="A32" s="63"/>
      <c r="B32" s="30" t="s">
        <v>29</v>
      </c>
      <c r="C32" s="33">
        <f>C31+((288.15-0.0019812*C31)/0.0019812)*(1-((288.15-0.0019812*C31)/(273.15+C23))^0.234969)</f>
        <v>34622.223622810554</v>
      </c>
      <c r="D32" s="33">
        <f>D31+((288.15-0.0019812*D31)/0.0019812)*(1-((288.15-0.0019812*D31)/(273.15+D23))^0.234969)</f>
        <v>34622.223622810554</v>
      </c>
      <c r="E32" s="40" t="s">
        <v>39</v>
      </c>
      <c r="F32" s="41">
        <f>D27*SIN(RADIANS(ABS(D28-D26)))</f>
        <v>0</v>
      </c>
      <c r="G32" s="56"/>
    </row>
    <row r="33" spans="1:7" ht="11.85" customHeight="1">
      <c r="A33" s="63"/>
      <c r="B33" s="5"/>
      <c r="F33" s="7"/>
      <c r="G33" s="56"/>
    </row>
    <row r="34" spans="1:7" ht="11.85" customHeight="1">
      <c r="A34" s="63"/>
      <c r="B34" s="5"/>
      <c r="F34" s="7"/>
      <c r="G34" s="56"/>
    </row>
    <row r="35" spans="1:7" ht="11.85" customHeight="1">
      <c r="A35" s="63"/>
      <c r="B35" s="5"/>
      <c r="F35" s="7"/>
      <c r="G35" s="56"/>
    </row>
    <row r="36" spans="1:7" ht="11.85" customHeight="1">
      <c r="A36" s="63"/>
      <c r="B36" s="5"/>
      <c r="C36" t="s">
        <v>16</v>
      </c>
      <c r="D36" s="6" t="s">
        <v>17</v>
      </c>
      <c r="E36" s="6" t="s">
        <v>18</v>
      </c>
      <c r="F36" s="7"/>
      <c r="G36" s="56"/>
    </row>
    <row r="37" spans="1:7" ht="11.85" customHeight="1">
      <c r="A37" s="63"/>
      <c r="B37" s="8"/>
      <c r="C37" s="6">
        <v>81</v>
      </c>
      <c r="D37" s="6">
        <v>1200</v>
      </c>
      <c r="E37"/>
      <c r="F37" s="9"/>
      <c r="G37" s="56"/>
    </row>
    <row r="38" spans="1:7" ht="11.85" customHeight="1">
      <c r="A38" s="63"/>
      <c r="B38" s="8"/>
      <c r="C38" s="6">
        <v>81</v>
      </c>
      <c r="D38" s="6">
        <v>1925</v>
      </c>
      <c r="E38"/>
      <c r="F38" s="7"/>
      <c r="G38" s="56"/>
    </row>
    <row r="39" spans="1:7" ht="11.85" customHeight="1">
      <c r="A39" s="63"/>
      <c r="B39" s="8"/>
      <c r="C39" s="6">
        <v>86</v>
      </c>
      <c r="D39" s="6">
        <v>2300</v>
      </c>
      <c r="E39"/>
      <c r="F39" s="7"/>
      <c r="G39" s="56"/>
    </row>
    <row r="40" spans="1:7" ht="11.85" customHeight="1">
      <c r="A40" s="63"/>
      <c r="B40" s="8"/>
      <c r="C40" s="6">
        <v>90</v>
      </c>
      <c r="D40" s="6">
        <v>2600</v>
      </c>
      <c r="E40"/>
      <c r="F40" s="7"/>
      <c r="G40" s="56"/>
    </row>
    <row r="41" spans="1:7" ht="11.85" customHeight="1">
      <c r="A41" s="63"/>
      <c r="B41" s="8"/>
      <c r="C41" s="6">
        <v>95.9</v>
      </c>
      <c r="D41" s="6">
        <v>2600</v>
      </c>
      <c r="E41"/>
      <c r="F41" s="7"/>
      <c r="G41" s="56"/>
    </row>
    <row r="42" spans="1:7" ht="11.85" customHeight="1">
      <c r="A42" s="63"/>
      <c r="B42" s="8"/>
      <c r="C42" s="6">
        <v>95.9</v>
      </c>
      <c r="D42" s="6">
        <v>1200</v>
      </c>
      <c r="E42"/>
      <c r="F42" s="7"/>
      <c r="G42" s="56"/>
    </row>
    <row r="43" spans="1:7" ht="11.85" customHeight="1">
      <c r="A43" s="63"/>
      <c r="B43" s="5"/>
      <c r="F43" s="7"/>
      <c r="G43" s="56"/>
    </row>
    <row r="44" spans="1:7" ht="11.85" customHeight="1">
      <c r="A44" s="63"/>
      <c r="B44" s="5"/>
      <c r="F44" s="7"/>
      <c r="G44" s="56"/>
    </row>
    <row r="45" spans="1:7" ht="11.85" customHeight="1">
      <c r="A45" s="63"/>
      <c r="B45" s="5"/>
      <c r="F45" s="7"/>
      <c r="G45" s="56"/>
    </row>
    <row r="46" spans="1:7">
      <c r="A46" s="63"/>
      <c r="B46" s="5"/>
      <c r="F46" s="7"/>
      <c r="G46" s="56"/>
    </row>
    <row r="47" spans="1:7">
      <c r="A47" s="63"/>
      <c r="B47" s="5"/>
      <c r="F47" s="7"/>
      <c r="G47" s="56"/>
    </row>
    <row r="48" spans="1:7">
      <c r="A48" s="63"/>
      <c r="B48" s="5"/>
      <c r="F48" s="7"/>
      <c r="G48" s="56"/>
    </row>
    <row r="49" spans="1:7">
      <c r="A49" s="63"/>
      <c r="B49" s="5"/>
      <c r="F49" s="7"/>
      <c r="G49" s="56"/>
    </row>
    <row r="50" spans="1:7">
      <c r="A50" s="63"/>
      <c r="B50" s="5"/>
      <c r="F50" s="7"/>
      <c r="G50" s="56"/>
    </row>
    <row r="51" spans="1:7">
      <c r="A51" s="63"/>
      <c r="B51" s="5"/>
      <c r="F51" s="7"/>
      <c r="G51" s="56"/>
    </row>
    <row r="52" spans="1:7">
      <c r="A52" s="63"/>
      <c r="B52" s="5"/>
      <c r="F52" s="7"/>
      <c r="G52" s="56"/>
    </row>
    <row r="53" spans="1:7">
      <c r="A53" s="63"/>
      <c r="B53" s="5"/>
      <c r="F53" s="7"/>
      <c r="G53" s="56"/>
    </row>
    <row r="54" spans="1:7">
      <c r="A54" s="63"/>
      <c r="B54" s="5"/>
      <c r="F54" s="7"/>
      <c r="G54" s="56"/>
    </row>
    <row r="55" spans="1:7">
      <c r="A55" s="63"/>
      <c r="B55" s="5"/>
      <c r="F55" s="7"/>
      <c r="G55" s="56"/>
    </row>
    <row r="56" spans="1:7">
      <c r="A56" s="63"/>
      <c r="B56" s="5"/>
      <c r="F56" s="7"/>
      <c r="G56" s="56"/>
    </row>
    <row r="57" spans="1:7">
      <c r="A57" s="63"/>
      <c r="B57" s="5"/>
      <c r="F57" s="7"/>
      <c r="G57" s="56"/>
    </row>
    <row r="58" spans="1:7">
      <c r="A58" s="63"/>
      <c r="B58" s="5"/>
      <c r="F58" s="7"/>
      <c r="G58" s="56"/>
    </row>
    <row r="59" spans="1:7">
      <c r="A59" s="63"/>
      <c r="B59" s="5"/>
      <c r="F59" s="7"/>
      <c r="G59" s="56"/>
    </row>
    <row r="60" spans="1:7" ht="12" thickBot="1">
      <c r="A60" s="63"/>
      <c r="B60" s="10"/>
      <c r="C60" s="11"/>
      <c r="D60" s="12"/>
      <c r="E60" s="12"/>
      <c r="F60" s="13"/>
      <c r="G60" s="56"/>
    </row>
    <row r="61" spans="1:7" ht="21" customHeight="1" thickBot="1">
      <c r="A61" s="60" t="s">
        <v>41</v>
      </c>
      <c r="B61" s="61"/>
      <c r="C61" s="61"/>
      <c r="D61" s="61"/>
      <c r="E61" s="61"/>
      <c r="F61" s="61"/>
      <c r="G61" s="62"/>
    </row>
  </sheetData>
  <sheetProtection algorithmName="SHA-512" hashValue="JpkqG5xPIA5iT6uFWSi0L5NWHtrN5SvAlJ/QawVSf79REF6ldxfmekT1AKE+cTEpHbhwqWQ/y5jFmEU6U+A6hA==" saltValue="jAM60AwtX8OSFLeGdyQQWA==" spinCount="100000" sheet="1" objects="1" scenarios="1" selectLockedCells="1"/>
  <mergeCells count="10">
    <mergeCell ref="G2:G60"/>
    <mergeCell ref="A1:G1"/>
    <mergeCell ref="A61:G61"/>
    <mergeCell ref="A2:A60"/>
    <mergeCell ref="D2:F2"/>
    <mergeCell ref="B2:C2"/>
    <mergeCell ref="B3:C3"/>
    <mergeCell ref="B11:C11"/>
    <mergeCell ref="B4:C4"/>
    <mergeCell ref="B10:C10"/>
  </mergeCells>
  <conditionalFormatting sqref="B11:C11">
    <cfRule type="cellIs" dxfId="14" priority="17" stopIfTrue="1" operator="lessThan">
      <formula>0</formula>
    </cfRule>
    <cfRule type="cellIs" dxfId="13" priority="18" stopIfTrue="1" operator="greaterThanOrEqual">
      <formula>0</formula>
    </cfRule>
  </conditionalFormatting>
  <conditionalFormatting sqref="C14">
    <cfRule type="cellIs" dxfId="12" priority="5" stopIfTrue="1" operator="greaterThan">
      <formula>48</formula>
    </cfRule>
  </conditionalFormatting>
  <conditionalFormatting sqref="C19">
    <cfRule type="cellIs" dxfId="11" priority="4" stopIfTrue="1" operator="greaterThan">
      <formula>48</formula>
    </cfRule>
  </conditionalFormatting>
  <conditionalFormatting sqref="C20">
    <cfRule type="cellIs" dxfId="10" priority="1" operator="greaterThan">
      <formula>10</formula>
    </cfRule>
    <cfRule type="cellIs" dxfId="9" priority="2" operator="between">
      <formula>10</formula>
      <formula>1</formula>
    </cfRule>
    <cfRule type="cellIs" dxfId="8" priority="3" stopIfTrue="1" operator="lessThanOrEqual">
      <formula>0</formula>
    </cfRule>
  </conditionalFormatting>
  <conditionalFormatting sqref="D17">
    <cfRule type="cellIs" dxfId="7" priority="15" stopIfTrue="1" operator="greaterThan">
      <formula>200</formula>
    </cfRule>
  </conditionalFormatting>
  <conditionalFormatting sqref="D18 D20">
    <cfRule type="cellIs" dxfId="6" priority="12" stopIfTrue="1" operator="lessThan">
      <formula>2600</formula>
    </cfRule>
    <cfRule type="cellIs" dxfId="5" priority="13" stopIfTrue="1" operator="greaterThan">
      <formula>2600</formula>
    </cfRule>
  </conditionalFormatting>
  <conditionalFormatting sqref="E18 E20">
    <cfRule type="cellIs" dxfId="4" priority="9" stopIfTrue="1" operator="between">
      <formula>81</formula>
      <formula>95.9</formula>
    </cfRule>
    <cfRule type="cellIs" dxfId="3" priority="10" stopIfTrue="1" operator="lessThan">
      <formula>81</formula>
    </cfRule>
    <cfRule type="cellIs" dxfId="2" priority="11" stopIfTrue="1" operator="greaterThan">
      <formula>95.9</formula>
    </cfRule>
  </conditionalFormatting>
  <conditionalFormatting sqref="F28">
    <cfRule type="cellIs" dxfId="1" priority="7" stopIfTrue="1" operator="lessThan">
      <formula>0</formula>
    </cfRule>
  </conditionalFormatting>
  <conditionalFormatting sqref="F31">
    <cfRule type="cellIs" dxfId="0" priority="6" stopIfTrue="1" operator="lessThan">
      <formula>0</formula>
    </cfRule>
  </conditionalFormatting>
  <pageMargins left="0.74791666666666667" right="0.74791666666666667" top="0.98402777777777772" bottom="0.98402777777777772" header="0.51180555555555551" footer="0.51180555555555551"/>
  <pageSetup scale="9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W&amp;B</vt:lpstr>
      <vt:lpstr>'W&amp;B'!Print_Area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</dc:creator>
  <cp:lastModifiedBy>Tom Stehler</cp:lastModifiedBy>
  <cp:lastPrinted>2020-06-10T19:04:12Z</cp:lastPrinted>
  <dcterms:created xsi:type="dcterms:W3CDTF">2018-12-14T16:46:46Z</dcterms:created>
  <dcterms:modified xsi:type="dcterms:W3CDTF">2026-08-12T22:56:28Z</dcterms:modified>
</cp:coreProperties>
</file>