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Lake Elmo Aero\Google Drive\Lake Elmo Aero\Flight Training\Aircraft\C-172M N61879\"/>
    </mc:Choice>
  </mc:AlternateContent>
  <xr:revisionPtr revIDLastSave="0" documentId="13_ncr:1_{75263E5F-01B0-477A-A621-E56E2B56FF7F}" xr6:coauthVersionLast="45" xr6:coauthVersionMax="45" xr10:uidLastSave="{00000000-0000-0000-0000-000000000000}"/>
  <bookViews>
    <workbookView xWindow="-120" yWindow="-120" windowWidth="29040" windowHeight="15840" tabRatio="948" xr2:uid="{00000000-000D-0000-FFFF-FFFF00000000}"/>
  </bookViews>
  <sheets>
    <sheet name="W&amp;B" sheetId="1" r:id="rId1"/>
    <sheet name="Performance" sheetId="2" r:id="rId2"/>
  </sheets>
  <definedNames>
    <definedName name="_xlnm.Print_Area" localSheetId="0">'W&amp;B'!$B$2:$F$54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17" i="1"/>
  <c r="E16" i="1" l="1"/>
  <c r="B2" i="1" l="1"/>
  <c r="F23" i="1"/>
  <c r="C10" i="2"/>
  <c r="C9" i="2"/>
  <c r="C8" i="2"/>
  <c r="C7" i="2"/>
  <c r="C6" i="2"/>
  <c r="C5" i="2"/>
  <c r="M41" i="2" s="1"/>
  <c r="C4" i="2"/>
  <c r="M26" i="2" s="1"/>
  <c r="M28" i="2"/>
  <c r="C3" i="2"/>
  <c r="B10" i="2"/>
  <c r="B9" i="2"/>
  <c r="B8" i="2"/>
  <c r="B7" i="2"/>
  <c r="B6" i="2"/>
  <c r="B5" i="2"/>
  <c r="B4" i="2"/>
  <c r="M16" i="2" s="1"/>
  <c r="B3" i="2"/>
  <c r="F36" i="1"/>
  <c r="E12" i="2" s="1"/>
  <c r="F35" i="1"/>
  <c r="E11" i="2" s="1"/>
  <c r="D35" i="1"/>
  <c r="C12" i="2" s="1"/>
  <c r="C35" i="1"/>
  <c r="C36" i="1" s="1"/>
  <c r="B13" i="2" s="1"/>
  <c r="D34" i="1"/>
  <c r="C11" i="2" s="1"/>
  <c r="C34" i="1"/>
  <c r="B11" i="2" s="1"/>
  <c r="F33" i="1"/>
  <c r="E10" i="2" s="1"/>
  <c r="F32" i="1"/>
  <c r="E9" i="2" s="1"/>
  <c r="F17" i="1"/>
  <c r="D18" i="1"/>
  <c r="D19" i="1"/>
  <c r="F19" i="1" s="1"/>
  <c r="F20" i="1"/>
  <c r="F21" i="1"/>
  <c r="M29" i="2"/>
  <c r="D36" i="1"/>
  <c r="C13" i="2" s="1"/>
  <c r="M27" i="2"/>
  <c r="Q44" i="2"/>
  <c r="F18" i="1"/>
  <c r="M4" i="2" l="1"/>
  <c r="Q20" i="2"/>
  <c r="M15" i="2"/>
  <c r="M5" i="2"/>
  <c r="M3" i="2"/>
  <c r="Q18" i="2"/>
  <c r="M2" i="2"/>
  <c r="Q7" i="2"/>
  <c r="O26" i="2"/>
  <c r="O39" i="2"/>
  <c r="S29" i="2"/>
  <c r="P27" i="2"/>
  <c r="D22" i="1"/>
  <c r="B14" i="1" s="1"/>
  <c r="B12" i="2"/>
  <c r="S15" i="2" s="1"/>
  <c r="M38" i="2"/>
  <c r="Q30" i="2"/>
  <c r="Q42" i="2"/>
  <c r="M40" i="2"/>
  <c r="Q32" i="2"/>
  <c r="M39" i="2"/>
  <c r="F22" i="1"/>
  <c r="F24" i="1" s="1"/>
  <c r="O15" i="2"/>
  <c r="Q29" i="2"/>
  <c r="P29" i="2"/>
  <c r="O28" i="2"/>
  <c r="R5" i="2"/>
  <c r="R41" i="2"/>
  <c r="P41" i="2"/>
  <c r="O40" i="2"/>
  <c r="O41" i="2"/>
  <c r="P39" i="2"/>
  <c r="Q39" i="2"/>
  <c r="O38" i="2"/>
  <c r="Q9" i="2"/>
  <c r="M17" i="2"/>
  <c r="M14" i="2"/>
  <c r="S27" i="2"/>
  <c r="S41" i="2"/>
  <c r="Q41" i="2"/>
  <c r="R39" i="2"/>
  <c r="O27" i="2"/>
  <c r="Q17" i="2"/>
  <c r="O29" i="2"/>
  <c r="P5" i="2"/>
  <c r="S39" i="2"/>
  <c r="R29" i="2"/>
  <c r="Q27" i="2"/>
  <c r="R27" i="2"/>
  <c r="P3" i="2" l="1"/>
  <c r="P15" i="2"/>
  <c r="O42" i="2"/>
  <c r="Q43" i="2" s="1"/>
  <c r="O34" i="2"/>
  <c r="O31" i="2"/>
  <c r="Q33" i="2" s="1"/>
  <c r="Q3" i="2"/>
  <c r="R3" i="2"/>
  <c r="R15" i="2"/>
  <c r="O17" i="2"/>
  <c r="D24" i="1"/>
  <c r="E24" i="1" s="1"/>
  <c r="E22" i="1"/>
  <c r="O43" i="2"/>
  <c r="Q45" i="2" s="1"/>
  <c r="C18" i="2" s="1"/>
  <c r="E7" i="2" s="1"/>
  <c r="F30" i="1" s="1"/>
  <c r="O4" i="2"/>
  <c r="Q5" i="2"/>
  <c r="R17" i="2"/>
  <c r="O16" i="2"/>
  <c r="P17" i="2"/>
  <c r="S17" i="2"/>
  <c r="O3" i="2"/>
  <c r="O5" i="2"/>
  <c r="S5" i="2"/>
  <c r="O44" i="2"/>
  <c r="Q15" i="2"/>
  <c r="O2" i="2"/>
  <c r="S3" i="2"/>
  <c r="O14" i="2"/>
  <c r="O33" i="2"/>
  <c r="O30" i="2"/>
  <c r="Q31" i="2" s="1"/>
  <c r="C17" i="2" s="1"/>
  <c r="E6" i="2" s="1"/>
  <c r="F29" i="1" s="1"/>
  <c r="O32" i="2"/>
  <c r="O45" i="2"/>
  <c r="O46" i="2"/>
  <c r="O19" i="2" l="1"/>
  <c r="Q21" i="2" s="1"/>
  <c r="O9" i="2"/>
  <c r="O18" i="2"/>
  <c r="Q19" i="2" s="1"/>
  <c r="O11" i="2"/>
  <c r="O20" i="2"/>
  <c r="O7" i="2"/>
  <c r="Q8" i="2" s="1"/>
  <c r="O21" i="2"/>
  <c r="O8" i="2"/>
  <c r="Q10" i="2" s="1"/>
  <c r="C15" i="2" s="1"/>
  <c r="E3" i="2" s="1"/>
  <c r="F26" i="1" s="1"/>
  <c r="C16" i="2"/>
  <c r="E4" i="2" s="1"/>
  <c r="F27" i="1" s="1"/>
  <c r="O10" i="2"/>
  <c r="O22" i="2"/>
</calcChain>
</file>

<file path=xl/sharedStrings.xml><?xml version="1.0" encoding="utf-8"?>
<sst xmlns="http://schemas.openxmlformats.org/spreadsheetml/2006/main" count="171" uniqueCount="86">
  <si>
    <t>USAGE:</t>
  </si>
  <si>
    <t>Performance Calculator</t>
  </si>
  <si>
    <t>Item</t>
  </si>
  <si>
    <t>Weight</t>
  </si>
  <si>
    <t>Arm</t>
  </si>
  <si>
    <t>Moment</t>
  </si>
  <si>
    <t>Fill out the areas in Yellow</t>
  </si>
  <si>
    <t>Weather Information:</t>
  </si>
  <si>
    <t>Performance:</t>
  </si>
  <si>
    <t>Aircraft Licensed Empty Weight</t>
  </si>
  <si>
    <t>Seat Occupancy Table:</t>
  </si>
  <si>
    <t>Field Elevation:</t>
  </si>
  <si>
    <t>Pilot:</t>
  </si>
  <si>
    <t>Temperature  C:</t>
  </si>
  <si>
    <t>Fuel (38 Gallons Maximum)</t>
  </si>
  <si>
    <t>Copilot:</t>
  </si>
  <si>
    <t>Dew Point C:</t>
  </si>
  <si>
    <t>Front Seats</t>
  </si>
  <si>
    <t>Rear Left:</t>
  </si>
  <si>
    <t>Altimeter Setting:</t>
  </si>
  <si>
    <t>Rear Seats</t>
  </si>
  <si>
    <t>Rear Right:</t>
  </si>
  <si>
    <t>Wind Direction:</t>
  </si>
  <si>
    <t>Baggage Area (120lbs Max)</t>
  </si>
  <si>
    <t>Wind Speed:</t>
  </si>
  <si>
    <t>Baggage Area 2 (50lbs Max)</t>
  </si>
  <si>
    <t>Runway Heading:</t>
  </si>
  <si>
    <t>Remaining Useful Load:</t>
  </si>
  <si>
    <t>Relative Humidity:</t>
  </si>
  <si>
    <t>Pressure Altitude:</t>
  </si>
  <si>
    <t>Density Altitude:</t>
  </si>
  <si>
    <t>Utility Category</t>
  </si>
  <si>
    <t>Loaded Moment</t>
  </si>
  <si>
    <t>Normal Category</t>
  </si>
  <si>
    <t>Soft Field? Y or N:</t>
  </si>
  <si>
    <t>Departure</t>
  </si>
  <si>
    <t>Destination</t>
  </si>
  <si>
    <t>*Max Weight*</t>
  </si>
  <si>
    <t>Departure Head Wind:</t>
  </si>
  <si>
    <t>Departure X-Wind:</t>
  </si>
  <si>
    <t>Destination X-Wind:</t>
  </si>
  <si>
    <t>Loaded CG</t>
  </si>
  <si>
    <t>Takeoff Data: GND Roll</t>
  </si>
  <si>
    <t>Temp inter</t>
  </si>
  <si>
    <t>Alt inter</t>
  </si>
  <si>
    <t>Temp° C</t>
  </si>
  <si>
    <t>X1</t>
  </si>
  <si>
    <t>Take Off Ground Roll</t>
  </si>
  <si>
    <t>Press Alt</t>
  </si>
  <si>
    <t>GND Roll</t>
  </si>
  <si>
    <t>Y1</t>
  </si>
  <si>
    <t>Take Off 50ft Height</t>
  </si>
  <si>
    <t>X2</t>
  </si>
  <si>
    <t>Y2</t>
  </si>
  <si>
    <t>Landing Distance</t>
  </si>
  <si>
    <t>Landing 50ft Distance</t>
  </si>
  <si>
    <t>Destination Headwind:</t>
  </si>
  <si>
    <t>Takeoff Data: 50Ft CLR</t>
  </si>
  <si>
    <t>Temp Inter</t>
  </si>
  <si>
    <t xml:space="preserve">UnCompensated for Wind </t>
  </si>
  <si>
    <t>x1</t>
  </si>
  <si>
    <t>Takeoff Roll</t>
  </si>
  <si>
    <t xml:space="preserve">50 Ft Clear </t>
  </si>
  <si>
    <t>50 Ft Clear</t>
  </si>
  <si>
    <t>y1</t>
  </si>
  <si>
    <t>Takeoff 50ft</t>
  </si>
  <si>
    <t>x2</t>
  </si>
  <si>
    <t>Landing Roll</t>
  </si>
  <si>
    <t>y2</t>
  </si>
  <si>
    <t>Landing 50ft</t>
  </si>
  <si>
    <t>Landing Data: GND Roll</t>
  </si>
  <si>
    <t>Alt Inter</t>
  </si>
  <si>
    <t>Landing Data: 50ft CLR</t>
  </si>
  <si>
    <t>Departure Total</t>
  </si>
  <si>
    <t>Estimated Fuel Burn</t>
  </si>
  <si>
    <t>Destination Total</t>
  </si>
  <si>
    <t>Takeoff Roll:</t>
  </si>
  <si>
    <t>Landing 50ft: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</si>
  <si>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</si>
  <si>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</si>
  <si>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</si>
  <si>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</si>
  <si>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t>Landing Roll:</t>
  </si>
  <si>
    <t>Takeoff 50ft:</t>
  </si>
  <si>
    <t>1975 Cessna 172M N61879</t>
  </si>
  <si>
    <t>*FOR PLANNING PURPOSES ONLY, VERIFY WEIGHT AND BALANCE BEFORE FLIGHT*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</si>
</sst>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\-??_);_(@_)"/>
    <numFmt numFmtId="165" formatCode="0.0&quot;  KT&quot;"/>
    <numFmt numFmtId="166" formatCode="#%"/>
    <numFmt numFmtId="167" formatCode="0&quot; Ft&quot;."/>
    <numFmt numFmtId="168" formatCode="0&quot;  KT&quot;"/>
    <numFmt numFmtId="169" formatCode="0&quot; gal&quot;"/>
    <numFmt numFmtId="170" formatCode="0.0"/>
    <numFmt numFmtId="171" formatCode="[$-F800]dddd\,\ mmmm\ dd\,\ yyyy"/>
  </numFmts>
  <fonts count="18">
    <font>
      <sz val="9"/>
      <name val="Geneva"/>
      <family val="2"/>
    </font>
    <font>
      <b/>
      <sz val="12"/>
      <name val="Geneva"/>
      <family val="2"/>
    </font>
    <font>
      <b/>
      <sz val="14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sz val="9"/>
      <name val="Geneva"/>
    </font>
    <font>
      <sz val="10"/>
      <name val="Geneva"/>
      <family val="2"/>
    </font>
    <font>
      <sz val="10"/>
      <name val="Geneva"/>
    </font>
    <font>
      <b/>
      <u/>
      <sz val="9"/>
      <name val="Geneva"/>
      <family val="2"/>
    </font>
    <font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3"/>
      </bottom>
      <diagonal/>
    </border>
    <border>
      <left/>
      <right/>
      <top style="thin">
        <color indexed="8"/>
      </top>
      <bottom style="medium">
        <color indexed="63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thin">
        <color theme="0" tint="-9.9978637043366805E-2"/>
      </left>
      <right/>
      <top style="medium">
        <color indexed="64"/>
      </top>
      <bottom style="thin">
        <color theme="0" tint="-9.9978637043366805E-2"/>
      </bottom>
      <diagonal/>
    </border>
    <border>
      <left style="medium">
        <color theme="0" tint="-0.89999084444715716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thin">
        <color theme="0" tint="-9.9978637043366805E-2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medium">
        <color theme="0" tint="-0.89999084444715716"/>
      </left>
      <right/>
      <top/>
      <bottom/>
      <diagonal/>
    </border>
    <border>
      <left/>
      <right/>
      <top/>
      <bottom style="medium">
        <color theme="0" tint="-0.89999084444715716"/>
      </bottom>
      <diagonal/>
    </border>
    <border>
      <left/>
      <right style="medium">
        <color indexed="64"/>
      </right>
      <top/>
      <bottom style="medium">
        <color theme="0" tint="-0.8999908444471571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0" tint="-9.9978637043366805E-2"/>
      </left>
      <right style="thin">
        <color theme="0" tint="-9.9978637043366805E-2"/>
      </right>
      <top style="thin">
        <color theme="0" tint="-9.9978637043366805E-2"/>
      </top>
      <bottom style="thin">
        <color theme="0" tint="-9.9978637043366805E-2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0" tint="-9.9978637043366805E-2"/>
      </right>
      <top style="thin">
        <color theme="0" tint="-9.9978637043366805E-2"/>
      </top>
      <bottom style="thin">
        <color theme="0" tint="-9.9978637043366805E-2"/>
      </bottom>
      <diagonal/>
    </border>
    <border>
      <left style="thin">
        <color theme="0" tint="-9.9978637043366805E-2"/>
      </left>
      <right/>
      <top style="thin">
        <color theme="0" tint="-9.9978637043366805E-2"/>
      </top>
      <bottom style="thin">
        <color theme="0" tint="-9.9978637043366805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2" xfId="0" applyBorder="1"/>
    <xf numFmtId="0" fontId="0" fillId="2" borderId="43" xfId="0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0" fillId="0" borderId="0" xfId="0" applyProtection="1"/>
    <xf numFmtId="0" fontId="2" fillId="3" borderId="5" xfId="0" applyFont="1" applyFill="1" applyBorder="1" applyAlignment="1">
      <alignment horizontal="center" vertical="center"/>
    </xf>
    <xf numFmtId="0" fontId="11" fillId="5" borderId="44" xfId="0" applyFont="1" applyFill="1" applyBorder="1"/>
    <xf numFmtId="0" fontId="2" fillId="5" borderId="45" xfId="0" applyFont="1" applyFill="1" applyBorder="1"/>
    <xf numFmtId="0" fontId="11" fillId="5" borderId="46" xfId="0" applyFont="1" applyFill="1" applyBorder="1"/>
    <xf numFmtId="0" fontId="2" fillId="5" borderId="47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48" xfId="0" applyBorder="1"/>
    <xf numFmtId="0" fontId="0" fillId="0" borderId="11" xfId="0" applyBorder="1"/>
    <xf numFmtId="0" fontId="0" fillId="0" borderId="1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1" fontId="0" fillId="0" borderId="0" xfId="0" applyNumberFormat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left"/>
    </xf>
    <xf numFmtId="0" fontId="12" fillId="0" borderId="18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1" fontId="0" fillId="0" borderId="0" xfId="0" applyNumberFormat="1"/>
    <xf numFmtId="0" fontId="2" fillId="5" borderId="60" xfId="0" applyFont="1" applyFill="1" applyBorder="1"/>
    <xf numFmtId="0" fontId="2" fillId="5" borderId="61" xfId="0" applyFont="1" applyFill="1" applyBorder="1"/>
    <xf numFmtId="0" fontId="12" fillId="5" borderId="60" xfId="0" applyFont="1" applyFill="1" applyBorder="1" applyAlignment="1">
      <alignment horizontal="right"/>
    </xf>
    <xf numFmtId="0" fontId="12" fillId="5" borderId="55" xfId="0" applyFont="1" applyFill="1" applyBorder="1"/>
    <xf numFmtId="0" fontId="12" fillId="0" borderId="14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11" xfId="0" applyBorder="1" applyProtection="1"/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0" borderId="10" xfId="0" applyBorder="1" applyProtection="1"/>
    <xf numFmtId="0" fontId="0" fillId="5" borderId="10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0" fillId="5" borderId="11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5" borderId="14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169" fontId="3" fillId="2" borderId="4" xfId="0" applyNumberFormat="1" applyFont="1" applyFill="1" applyBorder="1" applyAlignment="1" applyProtection="1">
      <alignment horizontal="center" vertical="center"/>
      <protection locked="0"/>
    </xf>
    <xf numFmtId="4" fontId="3" fillId="4" borderId="4" xfId="1" applyNumberFormat="1" applyFont="1" applyFill="1" applyBorder="1" applyAlignment="1" applyProtection="1">
      <alignment horizontal="center" vertical="center"/>
    </xf>
    <xf numFmtId="3" fontId="3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5" borderId="10" xfId="0" applyFont="1" applyFill="1" applyBorder="1" applyAlignment="1" applyProtection="1">
      <alignment horizontal="right" vertical="center"/>
    </xf>
    <xf numFmtId="0" fontId="0" fillId="5" borderId="10" xfId="0" applyFill="1" applyBorder="1" applyProtection="1"/>
    <xf numFmtId="0" fontId="0" fillId="5" borderId="11" xfId="0" applyFill="1" applyBorder="1" applyProtection="1"/>
    <xf numFmtId="0" fontId="3" fillId="5" borderId="18" xfId="0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horizontal="center" vertical="center"/>
    </xf>
    <xf numFmtId="4" fontId="6" fillId="5" borderId="0" xfId="1" applyNumberFormat="1" applyFont="1" applyFill="1" applyBorder="1" applyAlignment="1" applyProtection="1">
      <alignment horizontal="center" vertical="center"/>
    </xf>
    <xf numFmtId="4" fontId="6" fillId="5" borderId="11" xfId="1" applyNumberFormat="1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vertical="center"/>
    </xf>
    <xf numFmtId="0" fontId="7" fillId="5" borderId="14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vertical="center"/>
    </xf>
    <xf numFmtId="0" fontId="7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right" vertical="center"/>
    </xf>
    <xf numFmtId="0" fontId="0" fillId="5" borderId="14" xfId="0" applyFill="1" applyBorder="1" applyAlignment="1" applyProtection="1">
      <alignment horizontal="right" vertical="center"/>
    </xf>
    <xf numFmtId="166" fontId="0" fillId="5" borderId="0" xfId="0" applyNumberFormat="1" applyFill="1" applyBorder="1" applyAlignment="1" applyProtection="1">
      <alignment horizontal="center" vertical="center"/>
    </xf>
    <xf numFmtId="167" fontId="3" fillId="5" borderId="0" xfId="0" applyNumberFormat="1" applyFont="1" applyFill="1" applyBorder="1" applyAlignment="1" applyProtection="1">
      <alignment horizontal="center" vertical="center"/>
    </xf>
    <xf numFmtId="167" fontId="3" fillId="5" borderId="15" xfId="0" applyNumberFormat="1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right" vertical="center"/>
    </xf>
    <xf numFmtId="167" fontId="3" fillId="5" borderId="40" xfId="0" applyNumberFormat="1" applyFont="1" applyFill="1" applyBorder="1" applyAlignment="1" applyProtection="1">
      <alignment horizontal="center" vertical="center"/>
    </xf>
    <xf numFmtId="167" fontId="3" fillId="5" borderId="41" xfId="0" applyNumberFormat="1" applyFont="1" applyFill="1" applyBorder="1" applyAlignment="1" applyProtection="1">
      <alignment horizontal="center" vertical="center"/>
    </xf>
    <xf numFmtId="167" fontId="0" fillId="5" borderId="41" xfId="0" applyNumberFormat="1" applyFill="1" applyBorder="1" applyAlignment="1" applyProtection="1">
      <alignment horizontal="center" vertical="center"/>
    </xf>
    <xf numFmtId="0" fontId="0" fillId="5" borderId="41" xfId="0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right" vertical="center"/>
    </xf>
    <xf numFmtId="168" fontId="3" fillId="5" borderId="41" xfId="0" applyNumberFormat="1" applyFont="1" applyFill="1" applyBorder="1" applyAlignment="1" applyProtection="1">
      <alignment horizontal="center" vertical="center"/>
    </xf>
    <xf numFmtId="168" fontId="10" fillId="5" borderId="41" xfId="0" applyNumberFormat="1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right" vertical="center"/>
    </xf>
    <xf numFmtId="168" fontId="10" fillId="5" borderId="42" xfId="0" applyNumberFormat="1" applyFont="1" applyFill="1" applyBorder="1" applyAlignment="1" applyProtection="1">
      <alignment horizontal="center" vertical="center"/>
    </xf>
    <xf numFmtId="4" fontId="10" fillId="0" borderId="0" xfId="1" applyNumberFormat="1" applyFont="1" applyFill="1" applyBorder="1" applyAlignment="1" applyProtection="1">
      <alignment horizontal="center" vertical="center"/>
    </xf>
    <xf numFmtId="2" fontId="10" fillId="0" borderId="15" xfId="0" applyNumberFormat="1" applyFont="1" applyBorder="1" applyAlignment="1" applyProtection="1">
      <alignment horizontal="center" vertical="center"/>
    </xf>
    <xf numFmtId="4" fontId="10" fillId="0" borderId="15" xfId="0" applyNumberFormat="1" applyFont="1" applyBorder="1" applyAlignment="1" applyProtection="1">
      <alignment horizontal="center" vertical="center"/>
    </xf>
    <xf numFmtId="4" fontId="15" fillId="5" borderId="0" xfId="1" applyNumberFormat="1" applyFont="1" applyFill="1" applyBorder="1" applyAlignment="1" applyProtection="1">
      <alignment horizontal="center" vertical="center"/>
    </xf>
    <xf numFmtId="4" fontId="15" fillId="5" borderId="11" xfId="1" applyNumberFormat="1" applyFont="1" applyFill="1" applyBorder="1" applyAlignment="1" applyProtection="1">
      <alignment horizontal="center" vertical="center"/>
    </xf>
    <xf numFmtId="4" fontId="10" fillId="5" borderId="11" xfId="0" applyNumberFormat="1" applyFont="1" applyFill="1" applyBorder="1" applyAlignment="1" applyProtection="1">
      <alignment horizontal="center" vertical="center"/>
    </xf>
    <xf numFmtId="4" fontId="10" fillId="5" borderId="16" xfId="0" applyNumberFormat="1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/>
    </xf>
    <xf numFmtId="0" fontId="0" fillId="5" borderId="16" xfId="0" applyFill="1" applyBorder="1" applyAlignment="1" applyProtection="1">
      <alignment horizontal="center"/>
    </xf>
    <xf numFmtId="0" fontId="0" fillId="0" borderId="14" xfId="0" applyBorder="1" applyProtection="1"/>
    <xf numFmtId="0" fontId="0" fillId="0" borderId="15" xfId="0" applyBorder="1" applyProtection="1"/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16" fillId="0" borderId="1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textRotation="90"/>
    </xf>
    <xf numFmtId="0" fontId="17" fillId="0" borderId="11" xfId="0" applyFont="1" applyBorder="1" applyAlignment="1">
      <alignment horizontal="center" vertical="center" textRotation="180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4" fontId="5" fillId="0" borderId="14" xfId="0" applyNumberFormat="1" applyFont="1" applyBorder="1" applyAlignment="1" applyProtection="1">
      <alignment horizontal="center" vertical="center"/>
    </xf>
    <xf numFmtId="4" fontId="5" fillId="0" borderId="16" xfId="0" applyNumberFormat="1" applyFont="1" applyBorder="1" applyAlignment="1" applyProtection="1">
      <alignment horizontal="center" vertical="center"/>
    </xf>
    <xf numFmtId="0" fontId="3" fillId="5" borderId="28" xfId="0" applyFont="1" applyFill="1" applyBorder="1" applyAlignment="1" applyProtection="1">
      <alignment horizontal="left" vertical="center"/>
    </xf>
    <xf numFmtId="0" fontId="3" fillId="5" borderId="29" xfId="0" applyFont="1" applyFill="1" applyBorder="1" applyAlignment="1" applyProtection="1">
      <alignment horizontal="left" vertical="center"/>
    </xf>
    <xf numFmtId="0" fontId="4" fillId="7" borderId="28" xfId="0" applyFont="1" applyFill="1" applyBorder="1" applyAlignment="1" applyProtection="1">
      <alignment horizontal="center" vertical="center"/>
    </xf>
    <xf numFmtId="0" fontId="4" fillId="7" borderId="29" xfId="0" applyFont="1" applyFill="1" applyBorder="1" applyAlignment="1" applyProtection="1">
      <alignment horizontal="center" vertical="center"/>
    </xf>
    <xf numFmtId="171" fontId="1" fillId="6" borderId="62" xfId="0" applyNumberFormat="1" applyFont="1" applyFill="1" applyBorder="1" applyAlignment="1" applyProtection="1">
      <alignment horizontal="center" vertical="center"/>
    </xf>
    <xf numFmtId="171" fontId="1" fillId="6" borderId="63" xfId="0" applyNumberFormat="1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" fillId="3" borderId="32" xfId="0" applyFont="1" applyFill="1" applyBorder="1" applyAlignment="1">
      <alignment vertical="center"/>
    </xf>
    <xf numFmtId="0" fontId="1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2" fontId="0" fillId="5" borderId="0" xfId="0" applyNumberForma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17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9257113736936"/>
          <c:y val="0.16164892528745711"/>
          <c:w val="0.77185211366316386"/>
          <c:h val="0.68992535175864711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'W&amp;B'!$C$41:$C$45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38.5</c:v>
                </c:pt>
                <c:pt idx="3">
                  <c:v>47.3</c:v>
                </c:pt>
                <c:pt idx="4">
                  <c:v>47.3</c:v>
                </c:pt>
              </c:numCache>
            </c:numRef>
          </c:xVal>
          <c:yVal>
            <c:numRef>
              <c:f>'W&amp;B'!$D$41:$D$45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2300</c:v>
                </c:pt>
                <c:pt idx="3">
                  <c:v>2300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7-4A1A-B4DD-2A5F778DA345}"/>
            </c:ext>
          </c:extLst>
        </c:ser>
        <c:ser>
          <c:idx val="1"/>
          <c:order val="1"/>
          <c:tx>
            <c:v>Utility Category</c:v>
          </c:tx>
          <c:spPr>
            <a:ln w="349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'W&amp;B'!$E$41:$E$45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35.5</c:v>
                </c:pt>
                <c:pt idx="3">
                  <c:v>40.5</c:v>
                </c:pt>
                <c:pt idx="4">
                  <c:v>40.5</c:v>
                </c:pt>
              </c:numCache>
            </c:numRef>
          </c:xVal>
          <c:yVal>
            <c:numRef>
              <c:f>'W&amp;B'!$F$41:$F$45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2000</c:v>
                </c:pt>
                <c:pt idx="3">
                  <c:v>2000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7-4A1A-B4DD-2A5F778DA345}"/>
            </c:ext>
          </c:extLst>
        </c:ser>
        <c:ser>
          <c:idx val="2"/>
          <c:order val="2"/>
          <c:tx>
            <c:v>Departure CG</c:v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marker>
          <c:xVal>
            <c:numRef>
              <c:f>'W&amp;B'!$E$22</c:f>
              <c:numCache>
                <c:formatCode>#,##0.00</c:formatCode>
                <c:ptCount val="1"/>
                <c:pt idx="0">
                  <c:v>40.66122336390594</c:v>
                </c:pt>
              </c:numCache>
            </c:numRef>
          </c:xVal>
          <c:yVal>
            <c:numRef>
              <c:f>'W&amp;B'!$D$22</c:f>
              <c:numCache>
                <c:formatCode>#,##0.00</c:formatCode>
                <c:ptCount val="1"/>
                <c:pt idx="0">
                  <c:v>1450.1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7-4A1A-B4DD-2A5F778DA345}"/>
            </c:ext>
          </c:extLst>
        </c:ser>
        <c:ser>
          <c:idx val="3"/>
          <c:order val="3"/>
          <c:tx>
            <c:v>Destination CG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marker>
          <c:xVal>
            <c:numRef>
              <c:f>'W&amp;B'!$E$24</c:f>
              <c:numCache>
                <c:formatCode>0.00</c:formatCode>
                <c:ptCount val="1"/>
                <c:pt idx="0">
                  <c:v>40.66122336390594</c:v>
                </c:pt>
              </c:numCache>
            </c:numRef>
          </c:xVal>
          <c:yVal>
            <c:numRef>
              <c:f>'W&amp;B'!$D$24</c:f>
              <c:numCache>
                <c:formatCode>#,##0.00</c:formatCode>
                <c:ptCount val="1"/>
                <c:pt idx="0">
                  <c:v>1450.1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77-4A1A-B4DD-2A5F778DA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445200"/>
        <c:axId val="1"/>
      </c:scatterChart>
      <c:valAx>
        <c:axId val="1082445200"/>
        <c:scaling>
          <c:orientation val="minMax"/>
          <c:max val="48"/>
          <c:min val="3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38384141797090177"/>
              <c:y val="0.92374139553310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At val="950"/>
        <c:crossBetween val="midCat"/>
        <c:majorUnit val="1"/>
      </c:valAx>
      <c:valAx>
        <c:axId val="1"/>
        <c:scaling>
          <c:orientation val="minMax"/>
          <c:max val="24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0.10477625481999935"/>
              <c:y val="0.39588916951418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082445200"/>
        <c:crossesAt val="0"/>
        <c:crossBetween val="midCat"/>
        <c:majorUnit val="100"/>
        <c:minorUnit val="1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3.1027088595057688E-2"/>
          <c:w val="0.95979083633064388"/>
          <c:h val="7.8761451988312789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3C3C3C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6</xdr:col>
      <xdr:colOff>0</xdr:colOff>
      <xdr:row>63</xdr:row>
      <xdr:rowOff>0</xdr:rowOff>
    </xdr:to>
    <xdr:graphicFrame macro="">
      <xdr:nvGraphicFramePr>
        <xdr:cNvPr id="1121" name="Chart 1">
          <a:extLst>
            <a:ext uri="{FF2B5EF4-FFF2-40B4-BE49-F238E27FC236}">
              <a16:creationId xmlns:a16="http://schemas.microsoft.com/office/drawing/2014/main" id="{D5D2C9C1-24C2-4525-95BC-2B73C97CB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257175</xdr:colOff>
      <xdr:row>1</xdr:row>
      <xdr:rowOff>257175</xdr:rowOff>
    </xdr:from>
    <xdr:to>
      <xdr:col>5</xdr:col>
      <xdr:colOff>1133475</xdr:colOff>
      <xdr:row>13</xdr:row>
      <xdr:rowOff>57150</xdr:rowOff>
    </xdr:to>
    <xdr:pic>
      <xdr:nvPicPr>
        <xdr:cNvPr id="1122" name="Picture 2">
          <a:extLst>
            <a:ext uri="{FF2B5EF4-FFF2-40B4-BE49-F238E27FC236}">
              <a16:creationId xmlns:a16="http://schemas.microsoft.com/office/drawing/2014/main" id="{BD0139D2-7699-4EEA-950B-BF56BBA6B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257175"/>
          <a:ext cx="27717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0.18803</cdr:x>
      <cdr:y>0.82414</cdr:y>
    </cdr:from>
    <cdr:to>
      <cdr:x>0.19101</cdr:x>
      <cdr:y>0.86298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1321" y="3320507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91"/>
  <sheetViews>
    <sheetView tabSelected="1" workbookViewId="0">
      <selection activeCell="C26" sqref="C26"/>
    </sheetView>
  </sheetViews>
  <sheetFormatPr defaultColWidth="11.42578125" defaultRowHeight="12"/>
  <cols>
    <col min="1" max="1" width="6.7109375" style="12" customWidth="1"/>
    <col min="2" max="2" width="30.7109375" style="12" customWidth="1"/>
    <col min="3" max="3" width="12.7109375" style="12" customWidth="1"/>
    <col min="4" max="4" width="12.7109375" style="88" customWidth="1"/>
    <col min="5" max="5" width="15.7109375" style="88" customWidth="1"/>
    <col min="6" max="6" width="20.7109375" style="88" customWidth="1"/>
    <col min="7" max="7" width="6.7109375" style="12" customWidth="1"/>
    <col min="8" max="8" width="10.7109375" style="12" customWidth="1"/>
    <col min="9" max="9" width="19.7109375" style="12" customWidth="1"/>
    <col min="10" max="11" width="10.7109375" style="12" customWidth="1"/>
    <col min="12" max="12" width="20.7109375" style="12" customWidth="1"/>
    <col min="13" max="13" width="12.7109375" style="12" customWidth="1"/>
    <col min="14" max="16384" width="11.42578125" style="12"/>
  </cols>
  <sheetData>
    <row r="1" spans="1:8" ht="21" customHeight="1" thickBot="1">
      <c r="A1" s="136" t="s">
        <v>85</v>
      </c>
      <c r="B1" s="137"/>
      <c r="C1" s="137"/>
      <c r="D1" s="137"/>
      <c r="E1" s="137"/>
      <c r="F1" s="137"/>
      <c r="G1" s="138"/>
    </row>
    <row r="2" spans="1:8" ht="21" customHeight="1" thickBot="1">
      <c r="A2" s="142" t="s">
        <v>85</v>
      </c>
      <c r="B2" s="152">
        <f ca="1">NOW()</f>
        <v>42614.497761921295</v>
      </c>
      <c r="C2" s="153"/>
      <c r="D2" s="144" t="s">
        <v>84</v>
      </c>
      <c r="E2" s="144"/>
      <c r="F2" s="145"/>
      <c r="G2" s="143" t="s">
        <v>85</v>
      </c>
    </row>
    <row r="3" spans="1:8" ht="11.85" customHeight="1">
      <c r="A3" s="142"/>
      <c r="B3" s="154" t="s">
        <v>0</v>
      </c>
      <c r="C3" s="155"/>
      <c r="D3" s="76"/>
      <c r="E3" s="76"/>
      <c r="F3" s="130"/>
      <c r="G3" s="143"/>
    </row>
    <row r="4" spans="1:8" ht="11.85" customHeight="1" thickBot="1">
      <c r="A4" s="142"/>
      <c r="B4" s="156" t="s">
        <v>6</v>
      </c>
      <c r="C4" s="157"/>
      <c r="D4" s="76"/>
      <c r="E4" s="76"/>
      <c r="F4" s="130"/>
      <c r="G4" s="143"/>
    </row>
    <row r="5" spans="1:8" ht="11.85" customHeight="1">
      <c r="A5" s="142"/>
      <c r="B5" s="148" t="s">
        <v>10</v>
      </c>
      <c r="C5" s="149"/>
      <c r="D5" s="75"/>
      <c r="E5" s="76"/>
      <c r="F5" s="130"/>
      <c r="G5" s="143"/>
    </row>
    <row r="6" spans="1:8" ht="11.85" customHeight="1">
      <c r="A6" s="142"/>
      <c r="B6" s="89" t="s">
        <v>12</v>
      </c>
      <c r="C6" s="84"/>
      <c r="D6" s="75"/>
      <c r="E6" s="76"/>
      <c r="F6" s="130"/>
      <c r="G6" s="143"/>
    </row>
    <row r="7" spans="1:8" ht="11.85" customHeight="1">
      <c r="A7" s="142"/>
      <c r="B7" s="89" t="s">
        <v>15</v>
      </c>
      <c r="C7" s="84"/>
      <c r="D7" s="75"/>
      <c r="E7" s="76"/>
      <c r="F7" s="130"/>
      <c r="G7" s="143"/>
    </row>
    <row r="8" spans="1:8" ht="11.85" customHeight="1">
      <c r="A8" s="142"/>
      <c r="B8" s="89" t="s">
        <v>18</v>
      </c>
      <c r="C8" s="84"/>
      <c r="D8" s="75"/>
      <c r="E8" s="76"/>
      <c r="F8" s="130"/>
      <c r="G8" s="143"/>
    </row>
    <row r="9" spans="1:8" ht="11.85" customHeight="1">
      <c r="A9" s="142"/>
      <c r="B9" s="89" t="s">
        <v>21</v>
      </c>
      <c r="C9" s="84"/>
      <c r="D9" s="75"/>
      <c r="E9" s="76"/>
      <c r="F9" s="130"/>
      <c r="G9" s="143"/>
    </row>
    <row r="10" spans="1:8" ht="11.85" customHeight="1">
      <c r="A10" s="142"/>
      <c r="B10" s="78"/>
      <c r="C10" s="80"/>
      <c r="D10" s="75"/>
      <c r="E10" s="76"/>
      <c r="F10" s="130"/>
      <c r="G10" s="143"/>
    </row>
    <row r="11" spans="1:8" ht="11.85" customHeight="1">
      <c r="A11" s="142"/>
      <c r="B11" s="78"/>
      <c r="C11" s="80"/>
      <c r="D11" s="75"/>
      <c r="E11" s="76"/>
      <c r="F11" s="130"/>
      <c r="G11" s="143"/>
    </row>
    <row r="12" spans="1:8" s="81" customFormat="1" ht="11.85" customHeight="1" thickBot="1">
      <c r="A12" s="142"/>
      <c r="B12" s="90"/>
      <c r="C12" s="91"/>
      <c r="D12" s="78"/>
      <c r="E12" s="79"/>
      <c r="F12" s="80"/>
      <c r="G12" s="143"/>
    </row>
    <row r="13" spans="1:8" ht="11.85" customHeight="1">
      <c r="A13" s="142"/>
      <c r="B13" s="150" t="s">
        <v>27</v>
      </c>
      <c r="C13" s="151"/>
      <c r="D13" s="75"/>
      <c r="E13" s="76"/>
      <c r="F13" s="130"/>
      <c r="G13" s="143"/>
    </row>
    <row r="14" spans="1:8" ht="11.85" customHeight="1" thickBot="1">
      <c r="A14" s="142"/>
      <c r="B14" s="146">
        <f>B43-D22</f>
        <v>849.90000000000009</v>
      </c>
      <c r="C14" s="147"/>
      <c r="D14" s="82"/>
      <c r="E14" s="83"/>
      <c r="F14" s="131"/>
      <c r="G14" s="143"/>
      <c r="H14" s="81"/>
    </row>
    <row r="15" spans="1:8" ht="11.85" customHeight="1">
      <c r="A15" s="142"/>
      <c r="B15" s="92" t="s">
        <v>2</v>
      </c>
      <c r="C15" s="93"/>
      <c r="D15" s="93" t="s">
        <v>3</v>
      </c>
      <c r="E15" s="93" t="s">
        <v>4</v>
      </c>
      <c r="F15" s="94" t="s">
        <v>5</v>
      </c>
      <c r="G15" s="143"/>
    </row>
    <row r="16" spans="1:8" ht="11.85" customHeight="1">
      <c r="A16" s="142"/>
      <c r="B16" s="95" t="s">
        <v>9</v>
      </c>
      <c r="C16" s="96"/>
      <c r="D16" s="97">
        <v>1450.1</v>
      </c>
      <c r="E16" s="126">
        <f>F16/D16</f>
        <v>40.66122336390594</v>
      </c>
      <c r="F16" s="98">
        <v>58962.84</v>
      </c>
      <c r="G16" s="143"/>
    </row>
    <row r="17" spans="1:8" ht="11.85" customHeight="1">
      <c r="A17" s="142"/>
      <c r="B17" s="78" t="s">
        <v>14</v>
      </c>
      <c r="C17" s="85"/>
      <c r="D17" s="126">
        <f>6.01*C17</f>
        <v>0</v>
      </c>
      <c r="E17" s="97">
        <v>47.8</v>
      </c>
      <c r="F17" s="127">
        <f t="shared" ref="F17:F21" si="0">D17*E17</f>
        <v>0</v>
      </c>
      <c r="G17" s="143"/>
    </row>
    <row r="18" spans="1:8" ht="11.85" customHeight="1">
      <c r="A18" s="142"/>
      <c r="B18" s="78" t="s">
        <v>17</v>
      </c>
      <c r="C18" s="96"/>
      <c r="D18" s="86">
        <f>SUM(C6,C7)</f>
        <v>0</v>
      </c>
      <c r="E18" s="97">
        <v>37</v>
      </c>
      <c r="F18" s="127">
        <f t="shared" si="0"/>
        <v>0</v>
      </c>
      <c r="G18" s="143"/>
    </row>
    <row r="19" spans="1:8" ht="11.85" customHeight="1">
      <c r="A19" s="142"/>
      <c r="B19" s="78" t="s">
        <v>20</v>
      </c>
      <c r="C19" s="96"/>
      <c r="D19" s="86">
        <f>SUM(C8,C9)</f>
        <v>0</v>
      </c>
      <c r="E19" s="97">
        <v>73</v>
      </c>
      <c r="F19" s="127">
        <f t="shared" si="0"/>
        <v>0</v>
      </c>
      <c r="G19" s="143"/>
      <c r="H19" s="11"/>
    </row>
    <row r="20" spans="1:8" ht="11.85" customHeight="1">
      <c r="A20" s="142"/>
      <c r="B20" s="78" t="s">
        <v>23</v>
      </c>
      <c r="C20" s="96"/>
      <c r="D20" s="87"/>
      <c r="E20" s="97">
        <v>95</v>
      </c>
      <c r="F20" s="127">
        <f t="shared" si="0"/>
        <v>0</v>
      </c>
      <c r="G20" s="143"/>
    </row>
    <row r="21" spans="1:8" ht="11.85" customHeight="1">
      <c r="A21" s="142"/>
      <c r="B21" s="78" t="s">
        <v>25</v>
      </c>
      <c r="C21" s="96"/>
      <c r="D21" s="87"/>
      <c r="E21" s="97">
        <v>123</v>
      </c>
      <c r="F21" s="127">
        <f t="shared" si="0"/>
        <v>0</v>
      </c>
      <c r="G21" s="143"/>
    </row>
    <row r="22" spans="1:8" ht="11.85" customHeight="1">
      <c r="A22" s="142"/>
      <c r="B22" s="100" t="s">
        <v>73</v>
      </c>
      <c r="C22" s="102"/>
      <c r="D22" s="123">
        <f>SUM(D16:D21)</f>
        <v>1450.1</v>
      </c>
      <c r="E22" s="123">
        <f>F22/D22</f>
        <v>40.66122336390594</v>
      </c>
      <c r="F22" s="128">
        <f>SUM(F16:F21)</f>
        <v>58962.84</v>
      </c>
      <c r="G22" s="143"/>
    </row>
    <row r="23" spans="1:8" ht="11.85" customHeight="1">
      <c r="A23" s="142"/>
      <c r="B23" s="78" t="s">
        <v>74</v>
      </c>
      <c r="C23" s="85"/>
      <c r="D23" s="126">
        <f>6.01*C23</f>
        <v>0</v>
      </c>
      <c r="E23" s="169">
        <v>47.8</v>
      </c>
      <c r="F23" s="99">
        <f>D23*E23</f>
        <v>0</v>
      </c>
      <c r="G23" s="143"/>
    </row>
    <row r="24" spans="1:8" ht="11.85" customHeight="1" thickBot="1">
      <c r="A24" s="142"/>
      <c r="B24" s="101" t="s">
        <v>75</v>
      </c>
      <c r="C24" s="103"/>
      <c r="D24" s="125">
        <f>D22-D23</f>
        <v>1450.1</v>
      </c>
      <c r="E24" s="124">
        <f>F24/D24</f>
        <v>40.66122336390594</v>
      </c>
      <c r="F24" s="129">
        <f>F22-F23</f>
        <v>58962.84</v>
      </c>
      <c r="G24" s="143"/>
    </row>
    <row r="25" spans="1:8" ht="21" customHeight="1" thickBot="1">
      <c r="A25" s="142"/>
      <c r="B25" s="104" t="s">
        <v>7</v>
      </c>
      <c r="C25" s="105" t="s">
        <v>35</v>
      </c>
      <c r="D25" s="105" t="s">
        <v>36</v>
      </c>
      <c r="E25" s="106" t="s">
        <v>8</v>
      </c>
      <c r="F25" s="107" t="s">
        <v>37</v>
      </c>
      <c r="G25" s="143"/>
    </row>
    <row r="26" spans="1:8" ht="11.25" customHeight="1">
      <c r="A26" s="142"/>
      <c r="B26" s="108" t="s">
        <v>11</v>
      </c>
      <c r="C26" s="8"/>
      <c r="D26" s="10"/>
      <c r="E26" s="113" t="s">
        <v>76</v>
      </c>
      <c r="F26" s="114" t="e">
        <f>Performance!E3</f>
        <v>#REF!</v>
      </c>
      <c r="G26" s="143"/>
    </row>
    <row r="27" spans="1:8" ht="11.85" customHeight="1">
      <c r="A27" s="142"/>
      <c r="B27" s="108" t="s">
        <v>13</v>
      </c>
      <c r="C27" s="8"/>
      <c r="D27" s="10"/>
      <c r="E27" s="113" t="s">
        <v>83</v>
      </c>
      <c r="F27" s="115" t="e">
        <f>Performance!E4</f>
        <v>#REF!</v>
      </c>
      <c r="G27" s="143"/>
      <c r="H27" s="11"/>
    </row>
    <row r="28" spans="1:8" ht="11.85" customHeight="1">
      <c r="A28" s="142"/>
      <c r="B28" s="108" t="s">
        <v>16</v>
      </c>
      <c r="C28" s="8"/>
      <c r="D28" s="10"/>
      <c r="E28" s="113"/>
      <c r="F28" s="116"/>
      <c r="G28" s="143"/>
    </row>
    <row r="29" spans="1:8" ht="11.85" customHeight="1">
      <c r="A29" s="142"/>
      <c r="B29" s="108" t="s">
        <v>19</v>
      </c>
      <c r="C29" s="8"/>
      <c r="D29" s="10"/>
      <c r="E29" s="113" t="s">
        <v>82</v>
      </c>
      <c r="F29" s="115" t="e">
        <f>Performance!E6</f>
        <v>#REF!</v>
      </c>
      <c r="G29" s="143"/>
    </row>
    <row r="30" spans="1:8" ht="11.85" customHeight="1">
      <c r="A30" s="142"/>
      <c r="B30" s="108" t="s">
        <v>22</v>
      </c>
      <c r="C30" s="8"/>
      <c r="D30" s="10"/>
      <c r="E30" s="113" t="s">
        <v>77</v>
      </c>
      <c r="F30" s="115" t="e">
        <f>Performance!E7</f>
        <v>#REF!</v>
      </c>
      <c r="G30" s="143"/>
    </row>
    <row r="31" spans="1:8" ht="11.85" customHeight="1">
      <c r="A31" s="142"/>
      <c r="B31" s="108" t="s">
        <v>24</v>
      </c>
      <c r="C31" s="8"/>
      <c r="D31" s="10"/>
      <c r="E31" s="113"/>
      <c r="F31" s="117"/>
      <c r="G31" s="143"/>
    </row>
    <row r="32" spans="1:8" ht="11.85" customHeight="1">
      <c r="A32" s="142"/>
      <c r="B32" s="108" t="s">
        <v>26</v>
      </c>
      <c r="C32" s="8"/>
      <c r="D32" s="10"/>
      <c r="E32" s="118" t="s">
        <v>78</v>
      </c>
      <c r="F32" s="119">
        <f>C31*COS(RADIANS(ABS(C30-C32)))</f>
        <v>0</v>
      </c>
      <c r="G32" s="143"/>
    </row>
    <row r="33" spans="1:7" ht="11.85" customHeight="1">
      <c r="A33" s="142"/>
      <c r="B33" s="108" t="s">
        <v>34</v>
      </c>
      <c r="C33" s="9"/>
      <c r="D33" s="9"/>
      <c r="E33" s="118" t="s">
        <v>79</v>
      </c>
      <c r="F33" s="119">
        <f>C31*SIN(RADIANS(ABS(C32-C30)))</f>
        <v>0</v>
      </c>
      <c r="G33" s="143"/>
    </row>
    <row r="34" spans="1:7" ht="11.85" customHeight="1">
      <c r="A34" s="142"/>
      <c r="B34" s="108" t="s">
        <v>28</v>
      </c>
      <c r="C34" s="110">
        <f>(((112-0.1*C27)+C28)/(112+(0.9*C27)))^8</f>
        <v>1</v>
      </c>
      <c r="D34" s="110">
        <f>(((112-0.1*D27)+D28)/(112+(0.9*D27)))^8</f>
        <v>1</v>
      </c>
      <c r="E34" s="113"/>
      <c r="F34" s="119"/>
      <c r="G34" s="143"/>
    </row>
    <row r="35" spans="1:7" ht="11.85" customHeight="1">
      <c r="A35" s="142"/>
      <c r="B35" s="108" t="s">
        <v>29</v>
      </c>
      <c r="C35" s="111">
        <f>(29.92-C29)*1000+C26</f>
        <v>29920</v>
      </c>
      <c r="D35" s="111">
        <f>(29.92-D29)*1000+D26</f>
        <v>29920</v>
      </c>
      <c r="E35" s="118" t="s">
        <v>81</v>
      </c>
      <c r="F35" s="120">
        <f>D31*COS(RADIANS(ABS(D30-D32)))</f>
        <v>0</v>
      </c>
      <c r="G35" s="143"/>
    </row>
    <row r="36" spans="1:7" ht="11.85" customHeight="1" thickBot="1">
      <c r="A36" s="142"/>
      <c r="B36" s="109" t="s">
        <v>30</v>
      </c>
      <c r="C36" s="112">
        <f>C35+((288.15-0.0019812*C35)/0.0019812)*(1-((288.15-0.0019812*C35)/(273.15+C27))^0.234969)</f>
        <v>34622.223622810554</v>
      </c>
      <c r="D36" s="112">
        <f>D35+((288.15-0.0019812*D35)/0.0019812)*(1-((288.15-0.0019812*D35)/(273.15+D27))^0.234969)</f>
        <v>34622.223622810554</v>
      </c>
      <c r="E36" s="121" t="s">
        <v>80</v>
      </c>
      <c r="F36" s="122">
        <f>D31*SIN(RADIANS(ABS(D32-D30)))</f>
        <v>0</v>
      </c>
      <c r="G36" s="143"/>
    </row>
    <row r="37" spans="1:7" ht="11.85" customHeight="1">
      <c r="A37" s="142"/>
      <c r="B37" s="77"/>
      <c r="C37" s="71"/>
      <c r="D37" s="73"/>
      <c r="E37" s="73"/>
      <c r="F37" s="74"/>
      <c r="G37" s="143"/>
    </row>
    <row r="38" spans="1:7" ht="11.85" customHeight="1">
      <c r="A38" s="142"/>
      <c r="B38" s="77"/>
      <c r="C38" s="71"/>
      <c r="D38" s="73"/>
      <c r="E38" s="73"/>
      <c r="F38" s="74"/>
      <c r="G38" s="143"/>
    </row>
    <row r="39" spans="1:7" ht="11.85" customHeight="1">
      <c r="A39" s="142"/>
      <c r="B39" s="69" t="s">
        <v>41</v>
      </c>
      <c r="C39" s="70"/>
      <c r="D39" s="70"/>
      <c r="E39" s="71"/>
      <c r="F39" s="72"/>
      <c r="G39" s="143"/>
    </row>
    <row r="40" spans="1:7" ht="11.85" customHeight="1">
      <c r="A40" s="142"/>
      <c r="B40" s="69">
        <v>1500</v>
      </c>
      <c r="C40" s="70"/>
      <c r="D40" s="70"/>
      <c r="E40" s="71"/>
      <c r="F40" s="72"/>
      <c r="G40" s="143"/>
    </row>
    <row r="41" spans="1:7" ht="11.85" customHeight="1">
      <c r="A41" s="142"/>
      <c r="B41" s="69">
        <v>2000</v>
      </c>
      <c r="C41" s="73">
        <v>35</v>
      </c>
      <c r="D41" s="73">
        <v>1500</v>
      </c>
      <c r="E41" s="73">
        <v>35</v>
      </c>
      <c r="F41" s="74">
        <v>1500</v>
      </c>
      <c r="G41" s="143"/>
    </row>
    <row r="42" spans="1:7" ht="11.85" customHeight="1">
      <c r="A42" s="142"/>
      <c r="B42" s="69">
        <v>2000</v>
      </c>
      <c r="C42" s="73">
        <v>35</v>
      </c>
      <c r="D42" s="73">
        <v>1950</v>
      </c>
      <c r="E42" s="73">
        <v>35</v>
      </c>
      <c r="F42" s="74">
        <v>1950</v>
      </c>
      <c r="G42" s="143"/>
    </row>
    <row r="43" spans="1:7" ht="11.85" customHeight="1">
      <c r="A43" s="142"/>
      <c r="B43" s="69">
        <v>2300</v>
      </c>
      <c r="C43" s="73">
        <v>38.5</v>
      </c>
      <c r="D43" s="73">
        <v>2300</v>
      </c>
      <c r="E43" s="73">
        <v>35.5</v>
      </c>
      <c r="F43" s="74">
        <v>2000</v>
      </c>
      <c r="G43" s="143"/>
    </row>
    <row r="44" spans="1:7" ht="11.85" customHeight="1">
      <c r="A44" s="142"/>
      <c r="B44" s="69">
        <v>2300</v>
      </c>
      <c r="C44" s="73">
        <v>47.3</v>
      </c>
      <c r="D44" s="73">
        <v>2300</v>
      </c>
      <c r="E44" s="73">
        <v>40.5</v>
      </c>
      <c r="F44" s="74">
        <v>2000</v>
      </c>
      <c r="G44" s="143"/>
    </row>
    <row r="45" spans="1:7" ht="11.85" customHeight="1">
      <c r="A45" s="142"/>
      <c r="B45" s="69">
        <v>1500</v>
      </c>
      <c r="C45" s="73">
        <v>47.3</v>
      </c>
      <c r="D45" s="73">
        <v>1500</v>
      </c>
      <c r="E45" s="73">
        <v>40.5</v>
      </c>
      <c r="F45" s="74">
        <v>1500</v>
      </c>
      <c r="G45" s="143"/>
    </row>
    <row r="46" spans="1:7" ht="11.85" customHeight="1">
      <c r="A46" s="142"/>
      <c r="B46" s="77"/>
      <c r="C46" s="71"/>
      <c r="D46" s="73"/>
      <c r="E46" s="73"/>
      <c r="F46" s="74"/>
      <c r="G46" s="143"/>
    </row>
    <row r="47" spans="1:7">
      <c r="A47" s="142"/>
      <c r="B47" s="69" t="s">
        <v>31</v>
      </c>
      <c r="C47" s="73"/>
      <c r="D47" s="73" t="s">
        <v>32</v>
      </c>
      <c r="E47" s="71" t="s">
        <v>33</v>
      </c>
      <c r="F47" s="74"/>
      <c r="G47" s="143"/>
    </row>
    <row r="48" spans="1:7">
      <c r="A48" s="142"/>
      <c r="B48" s="69">
        <v>52000</v>
      </c>
      <c r="C48" s="73">
        <v>1500</v>
      </c>
      <c r="D48" s="73"/>
      <c r="E48" s="71">
        <v>61000</v>
      </c>
      <c r="F48" s="74"/>
      <c r="G48" s="143"/>
    </row>
    <row r="49" spans="1:7">
      <c r="A49" s="142"/>
      <c r="B49" s="69">
        <v>68000</v>
      </c>
      <c r="C49" s="73">
        <v>1950</v>
      </c>
      <c r="D49" s="73"/>
      <c r="E49" s="71">
        <v>81000</v>
      </c>
      <c r="F49" s="74"/>
      <c r="G49" s="143"/>
    </row>
    <row r="50" spans="1:7">
      <c r="A50" s="142"/>
      <c r="B50" s="69">
        <v>71000</v>
      </c>
      <c r="C50" s="73">
        <v>2000</v>
      </c>
      <c r="D50" s="73"/>
      <c r="E50" s="71">
        <v>71000</v>
      </c>
      <c r="F50" s="74"/>
      <c r="G50" s="143"/>
    </row>
    <row r="51" spans="1:7">
      <c r="A51" s="142"/>
      <c r="B51" s="69">
        <v>81000</v>
      </c>
      <c r="C51" s="73">
        <v>2000</v>
      </c>
      <c r="D51" s="73"/>
      <c r="E51" s="71">
        <v>88000</v>
      </c>
      <c r="F51" s="74"/>
      <c r="G51" s="143"/>
    </row>
    <row r="52" spans="1:7">
      <c r="A52" s="142"/>
      <c r="B52" s="69">
        <v>61000</v>
      </c>
      <c r="C52" s="73">
        <v>1500</v>
      </c>
      <c r="D52" s="73"/>
      <c r="E52" s="71">
        <v>109000</v>
      </c>
      <c r="F52" s="74"/>
      <c r="G52" s="143"/>
    </row>
    <row r="53" spans="1:7">
      <c r="A53" s="142"/>
      <c r="B53" s="69"/>
      <c r="C53" s="73"/>
      <c r="D53" s="73"/>
      <c r="E53" s="71">
        <v>71000</v>
      </c>
      <c r="F53" s="74"/>
      <c r="G53" s="143"/>
    </row>
    <row r="54" spans="1:7">
      <c r="A54" s="142"/>
      <c r="B54" s="77"/>
      <c r="C54" s="71"/>
      <c r="D54" s="73"/>
      <c r="E54" s="73"/>
      <c r="F54" s="74"/>
      <c r="G54" s="143"/>
    </row>
    <row r="55" spans="1:7">
      <c r="A55" s="142"/>
      <c r="B55" s="77"/>
      <c r="C55" s="71"/>
      <c r="D55" s="73"/>
      <c r="E55" s="73"/>
      <c r="F55" s="74"/>
      <c r="G55" s="143"/>
    </row>
    <row r="56" spans="1:7">
      <c r="A56" s="142"/>
      <c r="B56" s="77"/>
      <c r="C56" s="71"/>
      <c r="D56" s="73"/>
      <c r="E56" s="73"/>
      <c r="F56" s="74"/>
      <c r="G56" s="143"/>
    </row>
    <row r="57" spans="1:7">
      <c r="A57" s="142"/>
      <c r="B57" s="77"/>
      <c r="C57" s="71"/>
      <c r="D57" s="73"/>
      <c r="E57" s="73"/>
      <c r="F57" s="74"/>
      <c r="G57" s="143"/>
    </row>
    <row r="58" spans="1:7">
      <c r="A58" s="142"/>
      <c r="B58" s="77"/>
      <c r="C58" s="71"/>
      <c r="D58" s="73"/>
      <c r="E58" s="73"/>
      <c r="F58" s="74"/>
      <c r="G58" s="143"/>
    </row>
    <row r="59" spans="1:7">
      <c r="A59" s="142"/>
      <c r="B59" s="77"/>
      <c r="C59" s="71"/>
      <c r="D59" s="73"/>
      <c r="E59" s="73"/>
      <c r="F59" s="74"/>
      <c r="G59" s="143"/>
    </row>
    <row r="60" spans="1:7">
      <c r="A60" s="142"/>
      <c r="B60" s="77"/>
      <c r="C60" s="71"/>
      <c r="D60" s="73"/>
      <c r="E60" s="73"/>
      <c r="F60" s="74"/>
      <c r="G60" s="143"/>
    </row>
    <row r="61" spans="1:7">
      <c r="A61" s="142"/>
      <c r="B61" s="77"/>
      <c r="C61" s="71"/>
      <c r="D61" s="73"/>
      <c r="E61" s="73"/>
      <c r="F61" s="74"/>
      <c r="G61" s="143"/>
    </row>
    <row r="62" spans="1:7">
      <c r="A62" s="142"/>
      <c r="B62" s="77"/>
      <c r="C62" s="71"/>
      <c r="D62" s="73"/>
      <c r="E62" s="73"/>
      <c r="F62" s="74"/>
      <c r="G62" s="143"/>
    </row>
    <row r="63" spans="1:7" ht="12.75" thickBot="1">
      <c r="A63" s="142"/>
      <c r="B63" s="132"/>
      <c r="C63" s="133"/>
      <c r="D63" s="134"/>
      <c r="E63" s="134"/>
      <c r="F63" s="135"/>
      <c r="G63" s="143"/>
    </row>
    <row r="64" spans="1:7" ht="21" customHeight="1" thickBot="1">
      <c r="A64" s="139" t="s">
        <v>85</v>
      </c>
      <c r="B64" s="140"/>
      <c r="C64" s="140"/>
      <c r="D64" s="140"/>
      <c r="E64" s="140"/>
      <c r="F64" s="140"/>
      <c r="G64" s="141"/>
    </row>
    <row r="65" spans="2:6">
      <c r="B65" s="71"/>
      <c r="C65" s="71"/>
      <c r="D65" s="73"/>
      <c r="E65" s="73"/>
      <c r="F65" s="73"/>
    </row>
    <row r="66" spans="2:6">
      <c r="B66" s="71"/>
      <c r="C66" s="71"/>
      <c r="D66" s="73"/>
      <c r="E66" s="73"/>
      <c r="F66" s="73"/>
    </row>
    <row r="67" spans="2:6">
      <c r="B67" s="71"/>
      <c r="C67" s="71"/>
      <c r="D67" s="73"/>
      <c r="E67" s="73"/>
      <c r="F67" s="73"/>
    </row>
    <row r="68" spans="2:6">
      <c r="B68" s="71"/>
      <c r="C68" s="71"/>
      <c r="D68" s="73"/>
      <c r="E68" s="73"/>
      <c r="F68" s="73"/>
    </row>
    <row r="69" spans="2:6">
      <c r="B69" s="71"/>
      <c r="C69" s="71"/>
      <c r="D69" s="73"/>
      <c r="E69" s="73"/>
      <c r="F69" s="73"/>
    </row>
    <row r="70" spans="2:6">
      <c r="B70" s="71"/>
      <c r="C70" s="71"/>
      <c r="D70" s="73"/>
      <c r="E70" s="73"/>
      <c r="F70" s="73"/>
    </row>
    <row r="71" spans="2:6">
      <c r="B71" s="71"/>
      <c r="C71" s="71"/>
      <c r="D71" s="73"/>
      <c r="E71" s="73"/>
      <c r="F71" s="73"/>
    </row>
    <row r="72" spans="2:6">
      <c r="B72" s="71"/>
      <c r="C72" s="71"/>
      <c r="D72" s="73"/>
      <c r="E72" s="73"/>
      <c r="F72" s="73"/>
    </row>
    <row r="73" spans="2:6">
      <c r="B73" s="71"/>
      <c r="C73" s="71"/>
      <c r="D73" s="73"/>
      <c r="E73" s="73"/>
      <c r="F73" s="73"/>
    </row>
    <row r="74" spans="2:6">
      <c r="B74" s="71"/>
      <c r="C74" s="71"/>
      <c r="D74" s="73"/>
      <c r="E74" s="73"/>
      <c r="F74" s="73"/>
    </row>
    <row r="75" spans="2:6">
      <c r="B75" s="71"/>
      <c r="C75" s="71"/>
      <c r="D75" s="73"/>
      <c r="E75" s="73"/>
      <c r="F75" s="73"/>
    </row>
    <row r="76" spans="2:6">
      <c r="B76" s="71"/>
      <c r="C76" s="71"/>
      <c r="D76" s="73"/>
      <c r="E76" s="73"/>
      <c r="F76" s="73"/>
    </row>
    <row r="77" spans="2:6">
      <c r="B77" s="71"/>
      <c r="C77" s="71"/>
      <c r="D77" s="73"/>
      <c r="E77" s="73"/>
      <c r="F77" s="73"/>
    </row>
    <row r="78" spans="2:6">
      <c r="B78" s="71"/>
      <c r="C78" s="71"/>
      <c r="D78" s="73"/>
      <c r="E78" s="73"/>
      <c r="F78" s="73"/>
    </row>
    <row r="79" spans="2:6">
      <c r="B79" s="71"/>
      <c r="C79" s="71"/>
      <c r="D79" s="73"/>
      <c r="E79" s="73"/>
      <c r="F79" s="73"/>
    </row>
    <row r="80" spans="2:6">
      <c r="B80" s="71"/>
      <c r="C80" s="71"/>
      <c r="D80" s="73"/>
      <c r="E80" s="73"/>
      <c r="F80" s="73"/>
    </row>
    <row r="81" spans="2:6">
      <c r="B81" s="71"/>
      <c r="C81" s="71"/>
      <c r="D81" s="73"/>
      <c r="E81" s="73"/>
      <c r="F81" s="73"/>
    </row>
    <row r="82" spans="2:6">
      <c r="B82" s="71"/>
      <c r="C82" s="71"/>
      <c r="D82" s="73"/>
      <c r="E82" s="73"/>
      <c r="F82" s="73"/>
    </row>
    <row r="83" spans="2:6">
      <c r="B83" s="71"/>
      <c r="C83" s="71"/>
      <c r="D83" s="73"/>
      <c r="E83" s="73"/>
      <c r="F83" s="73"/>
    </row>
    <row r="84" spans="2:6">
      <c r="B84" s="71"/>
      <c r="C84" s="71"/>
      <c r="D84" s="73"/>
      <c r="E84" s="73"/>
      <c r="F84" s="73"/>
    </row>
    <row r="85" spans="2:6">
      <c r="B85" s="71"/>
      <c r="C85" s="71"/>
      <c r="D85" s="73"/>
      <c r="E85" s="73"/>
      <c r="F85" s="73"/>
    </row>
    <row r="86" spans="2:6">
      <c r="B86" s="71"/>
      <c r="C86" s="71"/>
      <c r="D86" s="73"/>
      <c r="E86" s="73"/>
      <c r="F86" s="73"/>
    </row>
    <row r="87" spans="2:6">
      <c r="B87" s="71"/>
      <c r="C87" s="71"/>
      <c r="D87" s="73"/>
      <c r="E87" s="73"/>
      <c r="F87" s="73"/>
    </row>
    <row r="88" spans="2:6">
      <c r="B88" s="71"/>
      <c r="C88" s="71"/>
      <c r="D88" s="73"/>
      <c r="E88" s="73"/>
      <c r="F88" s="73"/>
    </row>
    <row r="89" spans="2:6">
      <c r="B89" s="71"/>
      <c r="C89" s="71"/>
      <c r="D89" s="73"/>
      <c r="E89" s="73"/>
      <c r="F89" s="73"/>
    </row>
    <row r="90" spans="2:6">
      <c r="B90" s="71"/>
      <c r="C90" s="71"/>
      <c r="D90" s="73"/>
      <c r="E90" s="73"/>
      <c r="F90" s="73"/>
    </row>
    <row r="91" spans="2:6">
      <c r="B91" s="71"/>
      <c r="C91" s="71"/>
      <c r="D91" s="73"/>
      <c r="E91" s="73"/>
      <c r="F91" s="73"/>
    </row>
  </sheetData>
  <sheetProtection algorithmName="SHA-512" hashValue="ezuC+TidwzEBK1EddLzhxeb6NnZxEiXfH1jNMEuP/EwWNP0egGIMEIhnEpWWBNZJcUhiTWfpG69YAQn7pfFt0Q==" saltValue="LuYtE8DdKdninoz8rcBl0w==" spinCount="100000" sheet="1" objects="1" scenarios="1" selectLockedCells="1"/>
  <mergeCells count="11">
    <mergeCell ref="A1:G1"/>
    <mergeCell ref="A64:G64"/>
    <mergeCell ref="A2:A63"/>
    <mergeCell ref="G2:G63"/>
    <mergeCell ref="D2:F2"/>
    <mergeCell ref="B14:C14"/>
    <mergeCell ref="B5:C5"/>
    <mergeCell ref="B13:C13"/>
    <mergeCell ref="B2:C2"/>
    <mergeCell ref="B3:C3"/>
    <mergeCell ref="B4:C4"/>
  </mergeCells>
  <conditionalFormatting sqref="C17">
    <cfRule type="cellIs" dxfId="16" priority="19" stopIfTrue="1" operator="greaterThan">
      <formula>38</formula>
    </cfRule>
  </conditionalFormatting>
  <conditionalFormatting sqref="B14:C14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D22">
    <cfRule type="cellIs" dxfId="13" priority="15" stopIfTrue="1" operator="lessThan">
      <formula>2300</formula>
    </cfRule>
    <cfRule type="cellIs" dxfId="12" priority="16" stopIfTrue="1" operator="greaterThan">
      <formula>2300</formula>
    </cfRule>
  </conditionalFormatting>
  <conditionalFormatting sqref="E22">
    <cfRule type="cellIs" dxfId="11" priority="10" stopIfTrue="1" operator="lessThan">
      <formula>35</formula>
    </cfRule>
    <cfRule type="cellIs" dxfId="10" priority="11" stopIfTrue="1" operator="greaterThan">
      <formula>47.3</formula>
    </cfRule>
    <cfRule type="cellIs" dxfId="9" priority="14" stopIfTrue="1" operator="between">
      <formula>35</formula>
      <formula>47.3</formula>
    </cfRule>
  </conditionalFormatting>
  <conditionalFormatting sqref="D24">
    <cfRule type="cellIs" dxfId="8" priority="12" stopIfTrue="1" operator="lessThan">
      <formula>2300</formula>
    </cfRule>
    <cfRule type="cellIs" dxfId="7" priority="13" stopIfTrue="1" operator="greaterThan">
      <formula>2300</formula>
    </cfRule>
  </conditionalFormatting>
  <conditionalFormatting sqref="E24">
    <cfRule type="cellIs" dxfId="6" priority="7" stopIfTrue="1" operator="lessThan">
      <formula>35</formula>
    </cfRule>
    <cfRule type="cellIs" dxfId="5" priority="8" stopIfTrue="1" operator="between">
      <formula>35</formula>
      <formula>47.3</formula>
    </cfRule>
    <cfRule type="cellIs" dxfId="4" priority="9" stopIfTrue="1" operator="greaterThan">
      <formula>47.3</formula>
    </cfRule>
  </conditionalFormatting>
  <conditionalFormatting sqref="D20">
    <cfRule type="cellIs" dxfId="3" priority="4" stopIfTrue="1" operator="greaterThan">
      <formula>120</formula>
    </cfRule>
  </conditionalFormatting>
  <conditionalFormatting sqref="D21">
    <cfRule type="cellIs" dxfId="2" priority="3" stopIfTrue="1" operator="greaterThan">
      <formula>50</formula>
    </cfRule>
  </conditionalFormatting>
  <conditionalFormatting sqref="C23">
    <cfRule type="cellIs" dxfId="1" priority="2" stopIfTrue="1" operator="greaterThan">
      <formula>$C$17</formula>
    </cfRule>
  </conditionalFormatting>
  <conditionalFormatting sqref="F32 F35">
    <cfRule type="cellIs" dxfId="0" priority="1" stopIfTrue="1" operator="lessThan">
      <formula>0</formula>
    </cfRule>
  </conditionalFormatting>
  <pageMargins left="0.7" right="0.7" top="0.75" bottom="0.75" header="0.3" footer="0.3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workbookViewId="0">
      <selection activeCell="J17" sqref="J17"/>
    </sheetView>
  </sheetViews>
  <sheetFormatPr defaultRowHeight="12"/>
  <sheetData>
    <row r="1" spans="1:19" ht="18.75" thickBot="1">
      <c r="A1" s="161" t="s">
        <v>1</v>
      </c>
      <c r="B1" s="161"/>
      <c r="C1" s="162"/>
      <c r="D1" s="162"/>
      <c r="E1" s="13"/>
      <c r="F1" s="163" t="s">
        <v>42</v>
      </c>
      <c r="G1" s="164"/>
      <c r="H1" s="164"/>
      <c r="I1" s="164"/>
      <c r="J1" s="164"/>
      <c r="K1" s="164"/>
      <c r="L1" s="14" t="s">
        <v>43</v>
      </c>
      <c r="M1" s="15"/>
      <c r="N1" s="16" t="s">
        <v>44</v>
      </c>
      <c r="O1" s="17"/>
      <c r="P1" s="18"/>
      <c r="Q1" s="18"/>
      <c r="R1" s="18"/>
      <c r="S1" s="19"/>
    </row>
    <row r="2" spans="1:19">
      <c r="A2" s="3" t="s">
        <v>7</v>
      </c>
      <c r="B2" t="s">
        <v>35</v>
      </c>
      <c r="C2" t="s">
        <v>36</v>
      </c>
      <c r="D2" s="2" t="s">
        <v>8</v>
      </c>
      <c r="E2" s="1"/>
      <c r="F2" s="20" t="s">
        <v>45</v>
      </c>
      <c r="G2" s="21">
        <v>0</v>
      </c>
      <c r="H2" s="21">
        <v>10</v>
      </c>
      <c r="I2" s="21">
        <v>20</v>
      </c>
      <c r="J2" s="21">
        <v>30</v>
      </c>
      <c r="K2" s="21">
        <v>40</v>
      </c>
      <c r="L2" s="22" t="s">
        <v>46</v>
      </c>
      <c r="M2">
        <f>INDEX(G2:K2,MATCH(B4,G2:K2,1))</f>
        <v>0</v>
      </c>
      <c r="N2" s="23" t="s">
        <v>46</v>
      </c>
      <c r="O2">
        <f>INDEX(F4:F12,MATCH(B12,F4:F12,1))</f>
        <v>8000</v>
      </c>
      <c r="S2" s="24"/>
    </row>
    <row r="3" spans="1:19">
      <c r="A3" s="25" t="s">
        <v>11</v>
      </c>
      <c r="B3" s="26">
        <f>'W&amp;B'!C26</f>
        <v>0</v>
      </c>
      <c r="C3" s="27">
        <f>'W&amp;B'!D26</f>
        <v>0</v>
      </c>
      <c r="D3" s="1" t="s">
        <v>47</v>
      </c>
      <c r="E3" s="4" t="e">
        <f>IF(E9=0,C15,IF(E9&lt;0,C15-(E9*0.05*C15),IF(E9&gt;0,C15-(E9*0.0111*C15))))+IF(B10="Y",IF(E9=0,C15*0.15,((IF(E9&lt;0,C15-(E9*0.05*C15),IF(E9&gt;0,C15-(E9*0.0111*C15))))*0.15)))</f>
        <v>#REF!</v>
      </c>
      <c r="F3" s="28" t="s">
        <v>48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22" t="s">
        <v>50</v>
      </c>
      <c r="M3">
        <f>INDEX(G4:K4,MATCH(B4,G2:K2,1))</f>
        <v>720</v>
      </c>
      <c r="N3" s="23" t="s">
        <v>50</v>
      </c>
      <c r="O3">
        <f>INDEX(G4:G12,MATCH(B12,F4:F12,1))</f>
        <v>1550</v>
      </c>
      <c r="P3">
        <f>INDEX(H4:H12,MATCH(B12,F4:F12,1))</f>
        <v>1675</v>
      </c>
      <c r="Q3">
        <f>INDEX(I4:I12,MATCH(B12,F4:F12,1))</f>
        <v>1805</v>
      </c>
      <c r="R3">
        <f>INDEX(J4:J12,MATCH(B12,F4:F12,1))</f>
        <v>1945</v>
      </c>
      <c r="S3" s="24">
        <f>INDEX(K4:K12,MATCH(B12,F4:F12,1))</f>
        <v>2095</v>
      </c>
    </row>
    <row r="4" spans="1:19">
      <c r="A4" s="25" t="s">
        <v>13</v>
      </c>
      <c r="B4" s="26">
        <f>'W&amp;B'!C27</f>
        <v>0</v>
      </c>
      <c r="C4" s="27">
        <f>'W&amp;B'!D27</f>
        <v>0</v>
      </c>
      <c r="D4" s="1" t="s">
        <v>51</v>
      </c>
      <c r="E4" s="4" t="e">
        <f>IF(E9=0,C16,IF(E9&lt;0,C16-(E9*0.05*C16),IF(E9&gt;0,C16-(E9*0.0111*C16))))+IF(B10="Y",IF(E9=0,C15*0.15,((IF(E9&lt;0,C15-(E9*0.05*C15),IF(E9&gt;0,C15-(E9*0.0111*C15))))*0.15)))</f>
        <v>#REF!</v>
      </c>
      <c r="F4" s="25">
        <v>0</v>
      </c>
      <c r="G4" s="1">
        <v>720</v>
      </c>
      <c r="H4" s="1">
        <v>775</v>
      </c>
      <c r="I4" s="1">
        <v>835</v>
      </c>
      <c r="J4" s="1">
        <v>895</v>
      </c>
      <c r="K4" s="1">
        <v>960</v>
      </c>
      <c r="L4" s="22" t="s">
        <v>52</v>
      </c>
      <c r="M4">
        <f>INDEX(G2:K2,MATCH(B4,G2:K2,1)+1)</f>
        <v>10</v>
      </c>
      <c r="N4" s="23" t="s">
        <v>52</v>
      </c>
      <c r="O4" t="e">
        <f>INDEX(F4:F12,MATCH(B12,F4:F12,1)+1)</f>
        <v>#REF!</v>
      </c>
      <c r="S4" s="24"/>
    </row>
    <row r="5" spans="1:19" ht="12.75" thickBot="1">
      <c r="A5" s="25" t="s">
        <v>16</v>
      </c>
      <c r="B5" s="26">
        <f>'W&amp;B'!C28</f>
        <v>0</v>
      </c>
      <c r="C5" s="27">
        <f>'W&amp;B'!D28</f>
        <v>0</v>
      </c>
      <c r="D5" s="1"/>
      <c r="E5" s="1"/>
      <c r="F5" s="25">
        <v>1000</v>
      </c>
      <c r="G5" s="1">
        <v>790</v>
      </c>
      <c r="H5" s="1">
        <v>850</v>
      </c>
      <c r="I5" s="1">
        <v>915</v>
      </c>
      <c r="J5" s="1">
        <v>980</v>
      </c>
      <c r="K5" s="1">
        <v>1050</v>
      </c>
      <c r="L5" s="22" t="s">
        <v>53</v>
      </c>
      <c r="M5">
        <f>INDEX(G4:K4,MATCH(B4,G2:K2,1)+1)</f>
        <v>775</v>
      </c>
      <c r="N5" s="23" t="s">
        <v>53</v>
      </c>
      <c r="O5" t="e">
        <f>INDEX(G4:G12,MATCH(B12,F4:F12,1)+1)</f>
        <v>#REF!</v>
      </c>
      <c r="P5" t="e">
        <f>INDEX(H4:H12,MATCH(B12,F4:F12,1)+1)</f>
        <v>#REF!</v>
      </c>
      <c r="Q5" t="e">
        <f>INDEX(I4:I12,MATCH(B12,F4:F12,1)+1)</f>
        <v>#REF!</v>
      </c>
      <c r="R5" s="29" t="e">
        <f>INDEX(J4:J12,MATCH(B12,F4:F12,1)+1)</f>
        <v>#REF!</v>
      </c>
      <c r="S5" s="30" t="e">
        <f>INDEX(K4:K12,MATCH(B12,F4:F12,1)+1)</f>
        <v>#REF!</v>
      </c>
    </row>
    <row r="6" spans="1:19">
      <c r="A6" s="25" t="s">
        <v>19</v>
      </c>
      <c r="B6" s="26">
        <f>'W&amp;B'!C29</f>
        <v>0</v>
      </c>
      <c r="C6" s="27">
        <f>'W&amp;B'!D29</f>
        <v>0</v>
      </c>
      <c r="D6" s="1" t="s">
        <v>54</v>
      </c>
      <c r="E6" s="4" t="e">
        <f>IF(E11=0,C17,IF(E11&lt;0,C17-(E11*0.05*C17),IF(E11&gt;0,C17-(E11*0.0111*C17))))+IF(C10="Y",IF(E11=0,C17*0.45,((IF(E11&lt;0,C17-(E11*0.05*C17),IF(E11&gt;0,C17-(E11*0.0111*C17))))*0.45)))</f>
        <v>#REF!</v>
      </c>
      <c r="F6" s="25">
        <v>2000</v>
      </c>
      <c r="G6" s="1">
        <v>865</v>
      </c>
      <c r="H6" s="1">
        <v>930</v>
      </c>
      <c r="I6" s="1">
        <v>1000</v>
      </c>
      <c r="J6" s="1">
        <v>1075</v>
      </c>
      <c r="K6" s="1">
        <v>1155</v>
      </c>
      <c r="L6" s="22"/>
      <c r="N6" s="31"/>
      <c r="O6" s="32"/>
      <c r="P6" s="32"/>
      <c r="Q6" s="33"/>
      <c r="S6" s="24"/>
    </row>
    <row r="7" spans="1:19">
      <c r="A7" s="25" t="s">
        <v>22</v>
      </c>
      <c r="B7" s="26">
        <f>'W&amp;B'!C30</f>
        <v>0</v>
      </c>
      <c r="C7" s="27">
        <f>'W&amp;B'!D30</f>
        <v>0</v>
      </c>
      <c r="D7" s="1" t="s">
        <v>55</v>
      </c>
      <c r="E7" s="34" t="e">
        <f>IF(E11=0,C18,IF(E11&lt;0,C18-(E11*0.05*C18),IF(E11&gt;0,C18-(E11*0.0111*C18))))+IF(C10="Y",IF(E11=0,C17*0.45,((IF(E11&lt;0,C17-(E11*0.05*C17),IF(E11&gt;0,C17-(E11*0.0111*C17))))*0.45)))</f>
        <v>#REF!</v>
      </c>
      <c r="F7" s="25">
        <v>3000</v>
      </c>
      <c r="G7" s="1">
        <v>950</v>
      </c>
      <c r="H7" s="1">
        <v>1025</v>
      </c>
      <c r="I7" s="1">
        <v>1100</v>
      </c>
      <c r="J7" s="1">
        <v>1185</v>
      </c>
      <c r="K7" s="1">
        <v>1270</v>
      </c>
      <c r="L7" s="22"/>
      <c r="N7" s="35">
        <v>0</v>
      </c>
      <c r="O7" t="e">
        <f>O3+(B12-O2)*(O5-O3)/(O4-O2)</f>
        <v>#REF!</v>
      </c>
      <c r="P7" s="36" t="s">
        <v>46</v>
      </c>
      <c r="Q7" s="37">
        <f>INDEX(G2:K2,MATCH(B4,G2:K2,1))</f>
        <v>0</v>
      </c>
      <c r="S7" s="24"/>
    </row>
    <row r="8" spans="1:19">
      <c r="A8" s="25" t="s">
        <v>24</v>
      </c>
      <c r="B8" s="26">
        <f>'W&amp;B'!C31</f>
        <v>0</v>
      </c>
      <c r="C8" s="27">
        <f>'W&amp;B'!D31</f>
        <v>0</v>
      </c>
      <c r="D8" s="1"/>
      <c r="E8" s="1"/>
      <c r="F8" s="25">
        <v>4000</v>
      </c>
      <c r="G8" s="1">
        <v>1045</v>
      </c>
      <c r="H8" s="1">
        <v>1125</v>
      </c>
      <c r="I8" s="1">
        <v>1210</v>
      </c>
      <c r="J8" s="1">
        <v>1300</v>
      </c>
      <c r="K8" s="1">
        <v>1400</v>
      </c>
      <c r="L8" s="22"/>
      <c r="N8" s="35">
        <v>10</v>
      </c>
      <c r="O8" t="e">
        <f>P3+(B12-O2)*(P5-P3)/(O4-O2)</f>
        <v>#REF!</v>
      </c>
      <c r="P8" s="36" t="s">
        <v>50</v>
      </c>
      <c r="Q8" s="37" t="e">
        <f>INDEX(O7:O11,MATCH(B4,G2:K2,1))</f>
        <v>#REF!</v>
      </c>
      <c r="S8" s="24"/>
    </row>
    <row r="9" spans="1:19">
      <c r="A9" s="25" t="s">
        <v>26</v>
      </c>
      <c r="B9" s="26">
        <f>'W&amp;B'!C32</f>
        <v>0</v>
      </c>
      <c r="C9" s="27">
        <f>'W&amp;B'!D32</f>
        <v>0</v>
      </c>
      <c r="D9" s="38" t="s">
        <v>38</v>
      </c>
      <c r="E9" s="39">
        <f>'W&amp;B'!F32</f>
        <v>0</v>
      </c>
      <c r="F9" s="25">
        <v>5000</v>
      </c>
      <c r="G9" s="1">
        <v>1150</v>
      </c>
      <c r="H9" s="1">
        <v>1240</v>
      </c>
      <c r="I9" s="1">
        <v>1335</v>
      </c>
      <c r="J9" s="1">
        <v>1435</v>
      </c>
      <c r="K9" s="1">
        <v>1540</v>
      </c>
      <c r="L9" s="22"/>
      <c r="N9" s="35">
        <v>20</v>
      </c>
      <c r="O9" t="e">
        <f>Q3+(B12-O2)*(Q5-Q3)/(O4-O2)</f>
        <v>#REF!</v>
      </c>
      <c r="P9" s="36" t="s">
        <v>52</v>
      </c>
      <c r="Q9" s="37">
        <f>INDEX(G2:K2,MATCH(B4,G2:K2,1)+1)</f>
        <v>10</v>
      </c>
      <c r="S9" s="24"/>
    </row>
    <row r="10" spans="1:19">
      <c r="A10" s="1" t="s">
        <v>34</v>
      </c>
      <c r="B10" s="1">
        <f>'W&amp;B'!C33</f>
        <v>0</v>
      </c>
      <c r="C10" s="1">
        <f>'W&amp;B'!D33</f>
        <v>0</v>
      </c>
      <c r="D10" s="38" t="s">
        <v>39</v>
      </c>
      <c r="E10" s="39">
        <f>'W&amp;B'!F33</f>
        <v>0</v>
      </c>
      <c r="F10" s="25">
        <v>6000</v>
      </c>
      <c r="G10" s="1">
        <v>1265</v>
      </c>
      <c r="H10" s="1">
        <v>1365</v>
      </c>
      <c r="I10" s="1">
        <v>1475</v>
      </c>
      <c r="J10" s="1">
        <v>1585</v>
      </c>
      <c r="K10" s="1">
        <v>1705</v>
      </c>
      <c r="L10" s="22"/>
      <c r="N10" s="35">
        <v>30</v>
      </c>
      <c r="O10" t="e">
        <f>R3+(B12-O2)*(R5-R3)/(O4-O2)</f>
        <v>#REF!</v>
      </c>
      <c r="P10" s="36" t="s">
        <v>53</v>
      </c>
      <c r="Q10" s="37" t="e">
        <f>INDEX(O7:O11,MATCH(B4,G2:K2,1)+1)</f>
        <v>#REF!</v>
      </c>
      <c r="S10" s="24"/>
    </row>
    <row r="11" spans="1:19" ht="12.75" thickBot="1">
      <c r="A11" s="25" t="s">
        <v>28</v>
      </c>
      <c r="B11" s="5">
        <f>'W&amp;B'!C34</f>
        <v>1</v>
      </c>
      <c r="C11" s="5">
        <f>'W&amp;B'!D34</f>
        <v>1</v>
      </c>
      <c r="D11" s="38" t="s">
        <v>56</v>
      </c>
      <c r="E11" s="40">
        <f>'W&amp;B'!F35</f>
        <v>0</v>
      </c>
      <c r="F11" s="25">
        <v>7000</v>
      </c>
      <c r="G11" s="1">
        <v>1400</v>
      </c>
      <c r="H11" s="1">
        <v>1510</v>
      </c>
      <c r="I11" s="1">
        <v>1630</v>
      </c>
      <c r="J11" s="1">
        <v>1755</v>
      </c>
      <c r="K11" s="1">
        <v>1890</v>
      </c>
      <c r="L11" s="22"/>
      <c r="N11" s="41">
        <v>40</v>
      </c>
      <c r="O11" s="42" t="e">
        <f>S3+(B12-O2)*(S5-S3)/(O4-O2)</f>
        <v>#REF!</v>
      </c>
      <c r="P11" s="42"/>
      <c r="Q11" s="43"/>
      <c r="S11" s="24"/>
    </row>
    <row r="12" spans="1:19" ht="12.75" thickBot="1">
      <c r="A12" s="25" t="s">
        <v>29</v>
      </c>
      <c r="B12" s="6">
        <f>'W&amp;B'!C35</f>
        <v>29920</v>
      </c>
      <c r="C12" s="6">
        <f>'W&amp;B'!D35</f>
        <v>29920</v>
      </c>
      <c r="D12" s="38" t="s">
        <v>40</v>
      </c>
      <c r="E12" s="40">
        <f>'W&amp;B'!F36</f>
        <v>0</v>
      </c>
      <c r="F12" s="44">
        <v>8000</v>
      </c>
      <c r="G12" s="45">
        <v>1550</v>
      </c>
      <c r="H12" s="45">
        <v>1675</v>
      </c>
      <c r="I12" s="45">
        <v>1805</v>
      </c>
      <c r="J12" s="45">
        <v>1945</v>
      </c>
      <c r="K12" s="45">
        <v>2095</v>
      </c>
      <c r="L12" s="46"/>
      <c r="M12" s="47"/>
      <c r="N12" s="47"/>
      <c r="O12" s="47"/>
      <c r="P12" s="47"/>
      <c r="Q12" s="47"/>
      <c r="R12" s="47"/>
      <c r="S12" s="48"/>
    </row>
    <row r="13" spans="1:19" ht="18.75" thickBot="1">
      <c r="A13" s="49" t="s">
        <v>30</v>
      </c>
      <c r="B13" s="6">
        <f>'W&amp;B'!C36</f>
        <v>34622.223622810554</v>
      </c>
      <c r="C13" s="6">
        <f>'W&amp;B'!D36</f>
        <v>34622.223622810554</v>
      </c>
      <c r="E13" s="7"/>
      <c r="F13" s="165" t="s">
        <v>57</v>
      </c>
      <c r="G13" s="166"/>
      <c r="H13" s="166"/>
      <c r="I13" s="166"/>
      <c r="J13" s="166"/>
      <c r="K13" s="166"/>
      <c r="L13" s="50" t="s">
        <v>58</v>
      </c>
      <c r="M13" s="18"/>
      <c r="N13" s="50" t="s">
        <v>44</v>
      </c>
      <c r="O13" s="18"/>
      <c r="P13" s="18"/>
      <c r="Q13" s="18"/>
      <c r="R13" s="18"/>
      <c r="S13" s="19"/>
    </row>
    <row r="14" spans="1:19">
      <c r="B14" s="50"/>
      <c r="C14" s="51" t="s">
        <v>59</v>
      </c>
      <c r="F14" s="20" t="s">
        <v>45</v>
      </c>
      <c r="G14" s="1">
        <v>0</v>
      </c>
      <c r="H14" s="21">
        <v>10</v>
      </c>
      <c r="I14" s="21">
        <v>20</v>
      </c>
      <c r="J14" s="21">
        <v>30</v>
      </c>
      <c r="K14" s="21">
        <v>40</v>
      </c>
      <c r="L14" s="22" t="s">
        <v>60</v>
      </c>
      <c r="M14">
        <f>INDEX(G14:K14,MATCH(B4,G14:K14,1))</f>
        <v>0</v>
      </c>
      <c r="N14" s="22" t="s">
        <v>60</v>
      </c>
      <c r="O14">
        <f>INDEX(F16:F24,MATCH(B12,F16:F24,1))</f>
        <v>8000</v>
      </c>
      <c r="S14" s="24"/>
    </row>
    <row r="15" spans="1:19">
      <c r="B15" s="22" t="s">
        <v>61</v>
      </c>
      <c r="C15" s="24" t="e">
        <f>Q8+(B4-Q7)*(Q10-Q8)/(Q9-Q7)</f>
        <v>#REF!</v>
      </c>
      <c r="F15" s="28" t="s">
        <v>48</v>
      </c>
      <c r="G15" s="1" t="s">
        <v>62</v>
      </c>
      <c r="H15" s="1" t="s">
        <v>63</v>
      </c>
      <c r="I15" s="1" t="s">
        <v>63</v>
      </c>
      <c r="J15" s="1" t="s">
        <v>63</v>
      </c>
      <c r="K15" s="1" t="s">
        <v>63</v>
      </c>
      <c r="L15" s="52" t="s">
        <v>64</v>
      </c>
      <c r="M15">
        <f>INDEX(G16:K16,MATCH(B4,G14:K14,1))</f>
        <v>1300</v>
      </c>
      <c r="N15" s="52" t="s">
        <v>64</v>
      </c>
      <c r="O15">
        <f>INDEX(G16:G24,MATCH(B12,F16:F24,1))</f>
        <v>2870</v>
      </c>
      <c r="P15">
        <f>INDEX(H16:H24,MATCH(B12,F16:F24,1))</f>
        <v>3110</v>
      </c>
      <c r="Q15">
        <f>INDEX(I16:I24,MATCH(B12,F16:F24,1))</f>
        <v>3375</v>
      </c>
      <c r="R15">
        <f>INDEX(J16:J24,MATCH(B12,F16:F24,1))</f>
        <v>3670</v>
      </c>
      <c r="S15" s="24">
        <f>INDEX(K16:K24,MATCH(B12,F16:F24,1))</f>
        <v>3990</v>
      </c>
    </row>
    <row r="16" spans="1:19">
      <c r="B16" s="22" t="s">
        <v>65</v>
      </c>
      <c r="C16" s="24" t="e">
        <f>Q19+(B4-Q18)*(Q21-Q19)/(Q20-Q18)</f>
        <v>#REF!</v>
      </c>
      <c r="F16" s="25">
        <v>0</v>
      </c>
      <c r="G16" s="1">
        <v>1300</v>
      </c>
      <c r="H16" s="1">
        <v>1390</v>
      </c>
      <c r="I16" s="1">
        <v>1490</v>
      </c>
      <c r="J16" s="1">
        <v>1590</v>
      </c>
      <c r="K16" s="1">
        <v>1700</v>
      </c>
      <c r="L16" s="22" t="s">
        <v>66</v>
      </c>
      <c r="M16">
        <f>INDEX(G14:K14,MATCH(B4,G14:K14,1)+1)</f>
        <v>10</v>
      </c>
      <c r="N16" s="22" t="s">
        <v>66</v>
      </c>
      <c r="O16" t="e">
        <f>INDEX(F16:F24,MATCH(B12,F16:F24,1)+1)</f>
        <v>#REF!</v>
      </c>
      <c r="S16" s="24"/>
    </row>
    <row r="17" spans="2:19" ht="12.75" thickBot="1">
      <c r="B17" s="22" t="s">
        <v>67</v>
      </c>
      <c r="C17" s="24" t="e">
        <f>Q31+(C4-Q30)*(Q33-Q31)/(Q32-Q30)</f>
        <v>#REF!</v>
      </c>
      <c r="F17" s="25">
        <v>1000</v>
      </c>
      <c r="G17" s="1">
        <v>1420</v>
      </c>
      <c r="H17" s="1">
        <v>1525</v>
      </c>
      <c r="I17" s="1">
        <v>1630</v>
      </c>
      <c r="J17" s="1">
        <v>1745</v>
      </c>
      <c r="K17" s="1">
        <v>1865</v>
      </c>
      <c r="L17" s="22" t="s">
        <v>68</v>
      </c>
      <c r="M17">
        <f>INDEX(G16:K16,MATCH(B4,G14:K14,1)+1)</f>
        <v>1390</v>
      </c>
      <c r="N17" s="46" t="s">
        <v>68</v>
      </c>
      <c r="O17" s="47" t="e">
        <f>INDEX(G16:G24,MATCH(B12,F16:F24,1)+1)</f>
        <v>#REF!</v>
      </c>
      <c r="P17" s="47" t="e">
        <f>INDEX(H16:H24,MATCH(B12,F16:F24,1)+1)</f>
        <v>#REF!</v>
      </c>
      <c r="Q17" s="47" t="e">
        <f>INDEX(I16:I24,MATCH(B12,F16:F24,1)+1)</f>
        <v>#REF!</v>
      </c>
      <c r="R17" s="47" t="e">
        <f>INDEX(J16:J24,MATCH(B12,F16:F24,1)+1)</f>
        <v>#REF!</v>
      </c>
      <c r="S17" s="48" t="e">
        <f>INDEX(K16:K24,MATCH(B12,F16:F24,1)+1)</f>
        <v>#REF!</v>
      </c>
    </row>
    <row r="18" spans="2:19" ht="13.5" thickBot="1">
      <c r="B18" s="46" t="s">
        <v>69</v>
      </c>
      <c r="C18" s="48" t="e">
        <f>Q43+(C4-Q42)*(Q45-Q43)/(Q44-Q42)</f>
        <v>#REF!</v>
      </c>
      <c r="F18" s="25">
        <v>2000</v>
      </c>
      <c r="G18" s="1">
        <v>1555</v>
      </c>
      <c r="H18" s="1">
        <v>1670</v>
      </c>
      <c r="I18" s="1">
        <v>1790</v>
      </c>
      <c r="J18" s="1">
        <v>1915</v>
      </c>
      <c r="K18" s="1">
        <v>2055</v>
      </c>
      <c r="L18" s="22"/>
      <c r="N18" s="53">
        <v>0</v>
      </c>
      <c r="O18" s="18" t="e">
        <f>O15+(B12-O14)*(O17-O15)/(O16-O14)</f>
        <v>#REF!</v>
      </c>
      <c r="P18" s="18" t="s">
        <v>60</v>
      </c>
      <c r="Q18" s="19">
        <f>INDEX(G14:K14,MATCH(B4,G14:K14,1))</f>
        <v>0</v>
      </c>
      <c r="S18" s="24"/>
    </row>
    <row r="19" spans="2:19" ht="12.75">
      <c r="F19" s="25">
        <v>3000</v>
      </c>
      <c r="G19" s="1">
        <v>1710</v>
      </c>
      <c r="H19" s="1">
        <v>1835</v>
      </c>
      <c r="I19" s="1">
        <v>1970</v>
      </c>
      <c r="J19" s="1">
        <v>2115</v>
      </c>
      <c r="K19" s="1">
        <v>2265</v>
      </c>
      <c r="L19" s="22"/>
      <c r="N19" s="54">
        <v>10</v>
      </c>
      <c r="O19" t="e">
        <f>P15+(B12-O14)*(P17-P15)/(O16-O14)</f>
        <v>#REF!</v>
      </c>
      <c r="P19" t="s">
        <v>64</v>
      </c>
      <c r="Q19" s="24" t="e">
        <f>INDEX(O18:O22,MATCH(B4,G14:K14,1))</f>
        <v>#REF!</v>
      </c>
      <c r="S19" s="24"/>
    </row>
    <row r="20" spans="2:19" ht="12.75">
      <c r="F20" s="25">
        <v>4000</v>
      </c>
      <c r="G20" s="1">
        <v>1880</v>
      </c>
      <c r="H20" s="1">
        <v>2025</v>
      </c>
      <c r="I20" s="1">
        <v>2175</v>
      </c>
      <c r="J20" s="1">
        <v>2335</v>
      </c>
      <c r="K20" s="1">
        <v>2510</v>
      </c>
      <c r="L20" s="22"/>
      <c r="N20" s="54">
        <v>20</v>
      </c>
      <c r="O20" t="e">
        <f>Q15+(B12-O14)*(Q17-Q15)/(O16-O14)</f>
        <v>#REF!</v>
      </c>
      <c r="P20" t="s">
        <v>66</v>
      </c>
      <c r="Q20" s="24">
        <f>INDEX(G14:K14,MATCH(B4,G14:K14,1)+1)</f>
        <v>10</v>
      </c>
      <c r="S20" s="24"/>
    </row>
    <row r="21" spans="2:19" ht="18">
      <c r="C21" s="55"/>
      <c r="F21" s="25">
        <v>5000</v>
      </c>
      <c r="G21" s="1">
        <v>2075</v>
      </c>
      <c r="H21" s="1">
        <v>2240</v>
      </c>
      <c r="I21" s="1">
        <v>2410</v>
      </c>
      <c r="J21" s="1">
        <v>2595</v>
      </c>
      <c r="K21" s="1">
        <v>2795</v>
      </c>
      <c r="L21" s="56"/>
      <c r="M21" s="57"/>
      <c r="N21" s="58">
        <v>30</v>
      </c>
      <c r="O21" s="59" t="e">
        <f>R15+(B12-O14)*(R17-R15)/(O16-O14)</f>
        <v>#REF!</v>
      </c>
      <c r="P21" t="s">
        <v>68</v>
      </c>
      <c r="Q21" s="24" t="e">
        <f>INDEX(O18:O22,MATCH(B4,G14:K14,1)+1)</f>
        <v>#REF!</v>
      </c>
      <c r="S21" s="24"/>
    </row>
    <row r="22" spans="2:19" ht="13.5" thickBot="1">
      <c r="F22" s="25">
        <v>6000</v>
      </c>
      <c r="G22" s="1">
        <v>2305</v>
      </c>
      <c r="H22" s="1">
        <v>2485</v>
      </c>
      <c r="I22" s="1">
        <v>2680</v>
      </c>
      <c r="J22" s="1">
        <v>2895</v>
      </c>
      <c r="K22" s="1">
        <v>3125</v>
      </c>
      <c r="L22" s="22"/>
      <c r="N22" s="60">
        <v>40</v>
      </c>
      <c r="O22" s="47" t="e">
        <f>S15+(B12-O14)*(S17-S15)/(O16-O14)</f>
        <v>#REF!</v>
      </c>
      <c r="P22" s="47"/>
      <c r="Q22" s="48"/>
      <c r="S22" s="24"/>
    </row>
    <row r="23" spans="2:19">
      <c r="F23" s="25">
        <v>7000</v>
      </c>
      <c r="G23" s="1">
        <v>2565</v>
      </c>
      <c r="H23" s="1">
        <v>2770</v>
      </c>
      <c r="I23" s="1">
        <v>3000</v>
      </c>
      <c r="J23" s="1">
        <v>3245</v>
      </c>
      <c r="K23" s="1">
        <v>3515</v>
      </c>
      <c r="L23" s="22"/>
      <c r="S23" s="24"/>
    </row>
    <row r="24" spans="2:19" ht="12.75" thickBot="1">
      <c r="F24" s="25">
        <v>8000</v>
      </c>
      <c r="G24" s="1">
        <v>2870</v>
      </c>
      <c r="H24" s="1">
        <v>3110</v>
      </c>
      <c r="I24" s="1">
        <v>3375</v>
      </c>
      <c r="J24" s="1">
        <v>3670</v>
      </c>
      <c r="K24" s="1">
        <v>3990</v>
      </c>
      <c r="L24" s="46"/>
      <c r="M24" s="47"/>
      <c r="N24" s="47"/>
      <c r="O24" s="47"/>
      <c r="P24" s="47"/>
      <c r="Q24" s="47"/>
      <c r="R24" s="47"/>
      <c r="S24" s="48"/>
    </row>
    <row r="25" spans="2:19" ht="18.75" thickBot="1">
      <c r="F25" s="167" t="s">
        <v>70</v>
      </c>
      <c r="G25" s="168"/>
      <c r="H25" s="168"/>
      <c r="I25" s="168"/>
      <c r="J25" s="168"/>
      <c r="K25" s="168"/>
      <c r="L25" s="50" t="s">
        <v>43</v>
      </c>
      <c r="M25" s="18"/>
      <c r="N25" s="50" t="s">
        <v>71</v>
      </c>
      <c r="O25" s="18"/>
      <c r="P25" s="18"/>
      <c r="Q25" s="18"/>
      <c r="R25" s="18"/>
      <c r="S25" s="19"/>
    </row>
    <row r="26" spans="2:19">
      <c r="F26" s="61" t="s">
        <v>45</v>
      </c>
      <c r="G26" s="1">
        <v>0</v>
      </c>
      <c r="H26" s="1">
        <v>10</v>
      </c>
      <c r="I26" s="1">
        <v>20</v>
      </c>
      <c r="J26" s="1">
        <v>30</v>
      </c>
      <c r="K26" s="1">
        <v>40</v>
      </c>
      <c r="L26" s="22" t="s">
        <v>60</v>
      </c>
      <c r="M26">
        <f>INDEX(G26:K26,MATCH(C4,G26:K26,1))</f>
        <v>0</v>
      </c>
      <c r="N26" s="22" t="s">
        <v>60</v>
      </c>
      <c r="O26">
        <f>INDEX(F28:F36,MATCH(C12,F28:F36,1))</f>
        <v>8000</v>
      </c>
      <c r="S26" s="24"/>
    </row>
    <row r="27" spans="2:19">
      <c r="F27" s="61" t="s">
        <v>48</v>
      </c>
      <c r="G27" t="s">
        <v>49</v>
      </c>
      <c r="H27" t="s">
        <v>49</v>
      </c>
      <c r="I27" t="s">
        <v>49</v>
      </c>
      <c r="J27" t="s">
        <v>49</v>
      </c>
      <c r="K27" t="s">
        <v>49</v>
      </c>
      <c r="L27" s="22" t="s">
        <v>64</v>
      </c>
      <c r="M27">
        <f>INDEX(G28:K28,MATCH(C4,G14:K14,1))</f>
        <v>495</v>
      </c>
      <c r="N27" s="22" t="s">
        <v>64</v>
      </c>
      <c r="O27">
        <f>INDEX(G28:G36,MATCH(C12,F28:F36,1))</f>
        <v>665</v>
      </c>
      <c r="P27">
        <f>INDEX(H28:H36,MATCH(C12,F28:F36,1))</f>
        <v>690</v>
      </c>
      <c r="Q27">
        <f>INDEX(I28:I36,MATCH(C12,F28:F36,1))</f>
        <v>710</v>
      </c>
      <c r="R27">
        <f>INDEX(J28:J36,MATCH(C12,F28:F36,1))</f>
        <v>735</v>
      </c>
      <c r="S27" s="24">
        <f>INDEX(K28:K36,MATCH(C12,F28:F36,1))</f>
        <v>760</v>
      </c>
    </row>
    <row r="28" spans="2:19">
      <c r="F28" s="61">
        <v>0</v>
      </c>
      <c r="G28" s="1">
        <v>495</v>
      </c>
      <c r="H28" s="1">
        <v>510</v>
      </c>
      <c r="I28" s="1">
        <v>530</v>
      </c>
      <c r="J28" s="1">
        <v>545</v>
      </c>
      <c r="K28" s="1">
        <v>565</v>
      </c>
      <c r="L28" s="22" t="s">
        <v>66</v>
      </c>
      <c r="M28">
        <f>INDEX(G26:K26,MATCH(C4,G26:K26,1)+1)</f>
        <v>10</v>
      </c>
      <c r="N28" s="22" t="s">
        <v>66</v>
      </c>
      <c r="O28" t="e">
        <f>INDEX(F28:F36,MATCH(C12,F28:F36,1)+1)</f>
        <v>#REF!</v>
      </c>
      <c r="S28" s="24"/>
    </row>
    <row r="29" spans="2:19" ht="12.75" thickBot="1">
      <c r="F29" s="61">
        <v>1000</v>
      </c>
      <c r="G29" s="1">
        <v>510</v>
      </c>
      <c r="H29" s="1">
        <v>530</v>
      </c>
      <c r="I29" s="1">
        <v>550</v>
      </c>
      <c r="J29" s="1">
        <v>565</v>
      </c>
      <c r="K29" s="1">
        <v>585</v>
      </c>
      <c r="L29" s="22" t="s">
        <v>68</v>
      </c>
      <c r="M29">
        <f>INDEX(G28:K28,MATCH(C4,G26:K26,1)+1)</f>
        <v>510</v>
      </c>
      <c r="N29" s="46" t="s">
        <v>68</v>
      </c>
      <c r="O29" s="47" t="e">
        <f>INDEX(G28:G36,MATCH(C12,F28:F36,1)+1)</f>
        <v>#REF!</v>
      </c>
      <c r="P29" s="47" t="e">
        <f>INDEX(H28:H36,MATCH(C12,F28:F36,1)+1)</f>
        <v>#REF!</v>
      </c>
      <c r="Q29" s="47" t="e">
        <f>INDEX(I28:I36,MATCH(C12,F28:F36,1)+1)</f>
        <v>#REF!</v>
      </c>
      <c r="R29" s="47" t="e">
        <f>INDEX(J28:J36,MATCH(C12,F28:F36,1)+1)</f>
        <v>#REF!</v>
      </c>
      <c r="S29" s="48" t="e">
        <f>INDEX(K28:K36,MATCH(C12,F28:F36,1)+1)</f>
        <v>#REF!</v>
      </c>
    </row>
    <row r="30" spans="2:19" ht="12.75">
      <c r="F30" s="61">
        <v>2000</v>
      </c>
      <c r="G30" s="1">
        <v>530</v>
      </c>
      <c r="H30" s="1">
        <v>550</v>
      </c>
      <c r="I30" s="1">
        <v>570</v>
      </c>
      <c r="J30" s="1">
        <v>590</v>
      </c>
      <c r="K30" s="1">
        <v>610</v>
      </c>
      <c r="L30" s="22"/>
      <c r="N30" s="53">
        <v>0</v>
      </c>
      <c r="O30" s="18" t="e">
        <f>O27+(C12-O26)*(O29-O27)/(O28-O26)</f>
        <v>#REF!</v>
      </c>
      <c r="P30" s="18" t="s">
        <v>60</v>
      </c>
      <c r="Q30" s="19">
        <f>INDEX(G26:K26,MATCH(C4,G26:K26,1))</f>
        <v>0</v>
      </c>
      <c r="S30" s="24"/>
    </row>
    <row r="31" spans="2:19" ht="12.75">
      <c r="F31" s="61">
        <v>3000</v>
      </c>
      <c r="G31" s="1">
        <v>550</v>
      </c>
      <c r="H31" s="1">
        <v>570</v>
      </c>
      <c r="I31" s="1">
        <v>590</v>
      </c>
      <c r="J31" s="1">
        <v>610</v>
      </c>
      <c r="K31" s="1">
        <v>630</v>
      </c>
      <c r="L31" s="22"/>
      <c r="N31" s="54">
        <v>10</v>
      </c>
      <c r="O31" t="e">
        <f>P27+(C12-O26)*(P29-P27)/(O28-O26)</f>
        <v>#REF!</v>
      </c>
      <c r="P31" t="s">
        <v>64</v>
      </c>
      <c r="Q31" s="24" t="e">
        <f>INDEX(O30:O34,MATCH(C4,G26:K26,1))</f>
        <v>#REF!</v>
      </c>
      <c r="S31" s="24"/>
    </row>
    <row r="32" spans="2:19" ht="12.75">
      <c r="F32" s="61">
        <v>4000</v>
      </c>
      <c r="G32" s="1">
        <v>570</v>
      </c>
      <c r="H32" s="1">
        <v>590</v>
      </c>
      <c r="I32" s="1">
        <v>615</v>
      </c>
      <c r="J32" s="1">
        <v>635</v>
      </c>
      <c r="K32" s="1">
        <v>655</v>
      </c>
      <c r="L32" s="22"/>
      <c r="N32" s="54">
        <v>20</v>
      </c>
      <c r="O32" t="e">
        <f>Q27+(C12-O26)*(Q29-Q27)/(O28-O26)</f>
        <v>#REF!</v>
      </c>
      <c r="P32" t="s">
        <v>66</v>
      </c>
      <c r="Q32" s="24">
        <f>INDEX(G26:K26,MATCH(C4,G26:K26,1)+1)</f>
        <v>10</v>
      </c>
      <c r="S32" s="24"/>
    </row>
    <row r="33" spans="6:19" ht="12.75">
      <c r="F33" s="61">
        <v>5000</v>
      </c>
      <c r="G33" s="1">
        <v>590</v>
      </c>
      <c r="H33" s="1">
        <v>615</v>
      </c>
      <c r="I33" s="1">
        <v>635</v>
      </c>
      <c r="J33" s="1">
        <v>655</v>
      </c>
      <c r="K33" s="1">
        <v>680</v>
      </c>
      <c r="L33" s="22"/>
      <c r="N33" s="58">
        <v>30</v>
      </c>
      <c r="O33" s="59" t="e">
        <f>R27+(C12-O26)*(R29-R27)/(O28-O26)</f>
        <v>#REF!</v>
      </c>
      <c r="P33" t="s">
        <v>68</v>
      </c>
      <c r="Q33" s="24" t="e">
        <f>INDEX(O30:O34,MATCH(C4,G26:K26,1)+1)</f>
        <v>#REF!</v>
      </c>
      <c r="S33" s="24"/>
    </row>
    <row r="34" spans="6:19" ht="13.5" thickBot="1">
      <c r="F34" s="61">
        <v>6000</v>
      </c>
      <c r="G34" s="1">
        <v>615</v>
      </c>
      <c r="H34" s="1">
        <v>640</v>
      </c>
      <c r="I34" s="1">
        <v>660</v>
      </c>
      <c r="J34" s="1">
        <v>685</v>
      </c>
      <c r="K34" s="1">
        <v>705</v>
      </c>
      <c r="L34" s="22"/>
      <c r="N34" s="60">
        <v>40</v>
      </c>
      <c r="O34" s="47" t="e">
        <f>S27+(C12-O26)*(S29-S27)/(O28-O26)</f>
        <v>#REF!</v>
      </c>
      <c r="P34" s="47"/>
      <c r="Q34" s="48"/>
      <c r="S34" s="24"/>
    </row>
    <row r="35" spans="6:19">
      <c r="F35" s="61">
        <v>7000</v>
      </c>
      <c r="G35" s="1">
        <v>640</v>
      </c>
      <c r="H35" s="1">
        <v>660</v>
      </c>
      <c r="I35" s="1">
        <v>685</v>
      </c>
      <c r="J35" s="1">
        <v>710</v>
      </c>
      <c r="K35" s="1">
        <v>730</v>
      </c>
      <c r="L35" s="22"/>
      <c r="S35" s="24"/>
    </row>
    <row r="36" spans="6:19" ht="12.75" thickBot="1">
      <c r="F36" s="62">
        <v>8000</v>
      </c>
      <c r="G36" s="63">
        <v>665</v>
      </c>
      <c r="H36" s="63">
        <v>690</v>
      </c>
      <c r="I36" s="63">
        <v>710</v>
      </c>
      <c r="J36" s="63">
        <v>735</v>
      </c>
      <c r="K36" s="63">
        <v>760</v>
      </c>
      <c r="L36" s="46"/>
      <c r="M36" s="47"/>
      <c r="N36" s="47"/>
      <c r="O36" s="47"/>
      <c r="P36" s="47"/>
      <c r="Q36" s="47"/>
      <c r="R36" s="47"/>
      <c r="S36" s="48"/>
    </row>
    <row r="37" spans="6:19" ht="18">
      <c r="F37" s="158" t="s">
        <v>72</v>
      </c>
      <c r="G37" s="159"/>
      <c r="H37" s="159"/>
      <c r="I37" s="159"/>
      <c r="J37" s="159"/>
      <c r="K37" s="160"/>
      <c r="L37" s="50" t="s">
        <v>43</v>
      </c>
      <c r="M37" s="18"/>
      <c r="N37" s="50" t="s">
        <v>71</v>
      </c>
      <c r="O37" s="18"/>
      <c r="P37" s="18"/>
      <c r="Q37" s="18"/>
      <c r="R37" s="18"/>
      <c r="S37" s="19"/>
    </row>
    <row r="38" spans="6:19">
      <c r="F38" s="64" t="s">
        <v>45</v>
      </c>
      <c r="G38" s="65">
        <v>0</v>
      </c>
      <c r="H38" s="65">
        <v>10</v>
      </c>
      <c r="I38" s="65">
        <v>20</v>
      </c>
      <c r="J38" s="65">
        <v>30</v>
      </c>
      <c r="K38" s="66">
        <v>40</v>
      </c>
      <c r="L38" s="22" t="s">
        <v>60</v>
      </c>
      <c r="M38">
        <f>INDEX(G38:K38,MATCH(C4,G38:K38,1))</f>
        <v>0</v>
      </c>
      <c r="N38" s="22" t="s">
        <v>60</v>
      </c>
      <c r="O38">
        <f>INDEX(F40:F48,MATCH(C12,F40:F48,1))</f>
        <v>8000</v>
      </c>
      <c r="S38" s="24"/>
    </row>
    <row r="39" spans="6:19">
      <c r="F39" s="61" t="s">
        <v>48</v>
      </c>
      <c r="G39" s="1" t="s">
        <v>62</v>
      </c>
      <c r="H39" s="1" t="s">
        <v>63</v>
      </c>
      <c r="I39" s="1" t="s">
        <v>63</v>
      </c>
      <c r="J39" s="1" t="s">
        <v>63</v>
      </c>
      <c r="K39" s="67" t="s">
        <v>63</v>
      </c>
      <c r="L39" s="22" t="s">
        <v>64</v>
      </c>
      <c r="M39">
        <f>INDEX(G40:K40,MATCH(C4,G26:K26,1))</f>
        <v>1205</v>
      </c>
      <c r="N39" s="22" t="s">
        <v>64</v>
      </c>
      <c r="O39">
        <f>INDEX(G40:G48,MATCH(C12,F40:F48,1))</f>
        <v>1500</v>
      </c>
      <c r="P39">
        <f>INDEX(H40:H48,MATCH(C12,F40:F48,1))</f>
        <v>1540</v>
      </c>
      <c r="Q39">
        <f>INDEX(I40:I48,MATCH(C12,F40:F48,1))</f>
        <v>1580</v>
      </c>
      <c r="R39">
        <f>INDEX(J40:J48,MATCH(C12,F40:F48,1))</f>
        <v>1620</v>
      </c>
      <c r="S39" s="24">
        <f>INDEX(K40:K48,MATCH(C12,F40:F48,1))</f>
        <v>1665</v>
      </c>
    </row>
    <row r="40" spans="6:19">
      <c r="F40" s="61">
        <v>0</v>
      </c>
      <c r="G40" s="1">
        <v>1205</v>
      </c>
      <c r="H40" s="1">
        <v>1235</v>
      </c>
      <c r="I40" s="1">
        <v>1265</v>
      </c>
      <c r="J40" s="1">
        <v>1295</v>
      </c>
      <c r="K40" s="67">
        <v>1330</v>
      </c>
      <c r="L40" s="22" t="s">
        <v>66</v>
      </c>
      <c r="M40">
        <f>INDEX(G38:K38,MATCH(C4,G38:K38,1)+1)</f>
        <v>10</v>
      </c>
      <c r="N40" s="22" t="s">
        <v>66</v>
      </c>
      <c r="O40" t="e">
        <f>INDEX(F40:F48,MATCH(C12,F40:F48,1)+1)</f>
        <v>#REF!</v>
      </c>
      <c r="S40" s="24"/>
    </row>
    <row r="41" spans="6:19" ht="12.75" thickBot="1">
      <c r="F41" s="61">
        <v>1000</v>
      </c>
      <c r="G41" s="1">
        <v>1235</v>
      </c>
      <c r="H41" s="1">
        <v>1265</v>
      </c>
      <c r="I41" s="1">
        <v>1300</v>
      </c>
      <c r="J41" s="1">
        <v>1330</v>
      </c>
      <c r="K41" s="67">
        <v>1365</v>
      </c>
      <c r="L41" s="22" t="s">
        <v>68</v>
      </c>
      <c r="M41">
        <f>INDEX(G40:K40,MATCH(C5,G38:K38,1)+1)</f>
        <v>1235</v>
      </c>
      <c r="N41" s="46" t="s">
        <v>68</v>
      </c>
      <c r="O41" s="47" t="e">
        <f>INDEX(G40:G48,MATCH(C12,F40:F48,1)+1)</f>
        <v>#REF!</v>
      </c>
      <c r="P41" s="47" t="e">
        <f>INDEX(H40:H48,MATCH(C12,F40:F48,1)+1)</f>
        <v>#REF!</v>
      </c>
      <c r="Q41" s="47" t="e">
        <f>INDEX(I40:I48,MATCH(C12,F40:F48,1)+1)</f>
        <v>#REF!</v>
      </c>
      <c r="R41" s="47" t="e">
        <f>INDEX(J40:J48,MATCH(C12,F40:F48,1)+1)</f>
        <v>#REF!</v>
      </c>
      <c r="S41" s="48" t="e">
        <f>INDEX(K40:K48,MATCH(C12,F40:F48,1)+1)</f>
        <v>#REF!</v>
      </c>
    </row>
    <row r="42" spans="6:19" ht="12.75">
      <c r="F42" s="61">
        <v>2000</v>
      </c>
      <c r="G42" s="1">
        <v>1265</v>
      </c>
      <c r="H42" s="1">
        <v>1300</v>
      </c>
      <c r="I42" s="1">
        <v>1335</v>
      </c>
      <c r="J42" s="1">
        <v>1370</v>
      </c>
      <c r="K42" s="67">
        <v>1405</v>
      </c>
      <c r="L42" s="22"/>
      <c r="N42" s="53">
        <v>0</v>
      </c>
      <c r="O42" s="18" t="e">
        <f>O39+(C12-O38)*(O41-O39)/(O40-O38)</f>
        <v>#REF!</v>
      </c>
      <c r="P42" s="18" t="s">
        <v>60</v>
      </c>
      <c r="Q42" s="19">
        <f>INDEX(G38:K38,MATCH(C4,G38:K38,1))</f>
        <v>0</v>
      </c>
      <c r="S42" s="24"/>
    </row>
    <row r="43" spans="6:19" ht="12.75">
      <c r="F43" s="61">
        <v>3000</v>
      </c>
      <c r="G43" s="1">
        <v>1300</v>
      </c>
      <c r="H43" s="1">
        <v>1335</v>
      </c>
      <c r="I43" s="1">
        <v>1370</v>
      </c>
      <c r="J43" s="1">
        <v>1405</v>
      </c>
      <c r="K43" s="67">
        <v>1440</v>
      </c>
      <c r="L43" s="22"/>
      <c r="N43" s="54">
        <v>10</v>
      </c>
      <c r="O43" t="e">
        <f>P39+(C12-O38)*(P41-P39)/(O40-O38)</f>
        <v>#REF!</v>
      </c>
      <c r="P43" t="s">
        <v>64</v>
      </c>
      <c r="Q43" s="24" t="e">
        <f>INDEX(O42:O46,MATCH(C4,G38:K38,1))</f>
        <v>#REF!</v>
      </c>
      <c r="S43" s="24"/>
    </row>
    <row r="44" spans="6:19" ht="12.75">
      <c r="F44" s="61">
        <v>4000</v>
      </c>
      <c r="G44" s="1">
        <v>1335</v>
      </c>
      <c r="H44" s="1">
        <v>1370</v>
      </c>
      <c r="I44" s="1">
        <v>1410</v>
      </c>
      <c r="J44" s="1">
        <v>1445</v>
      </c>
      <c r="K44" s="67">
        <v>1480</v>
      </c>
      <c r="L44" s="22"/>
      <c r="N44" s="54">
        <v>20</v>
      </c>
      <c r="O44" t="e">
        <f>Q39+(C12-O38)*(Q41-Q39)/(O40-O38)</f>
        <v>#REF!</v>
      </c>
      <c r="P44" t="s">
        <v>66</v>
      </c>
      <c r="Q44" s="24">
        <f>INDEX(G38:K38,MATCH(C4,G38:K38,1)+1)</f>
        <v>10</v>
      </c>
      <c r="S44" s="24"/>
    </row>
    <row r="45" spans="6:19" ht="12.75">
      <c r="F45" s="61">
        <v>5000</v>
      </c>
      <c r="G45" s="1">
        <v>1370</v>
      </c>
      <c r="H45" s="1">
        <v>1415</v>
      </c>
      <c r="I45" s="1">
        <v>1450</v>
      </c>
      <c r="J45" s="1">
        <v>1485</v>
      </c>
      <c r="K45" s="67">
        <v>1525</v>
      </c>
      <c r="L45" s="22"/>
      <c r="N45" s="58">
        <v>30</v>
      </c>
      <c r="O45" s="59" t="e">
        <f>R39+(C12-O38)*(R41-R39)/(O40-O38)</f>
        <v>#REF!</v>
      </c>
      <c r="P45" t="s">
        <v>68</v>
      </c>
      <c r="Q45" s="24" t="e">
        <f>INDEX(O42:O46,MATCH(C4,G38:K38,1)+1)</f>
        <v>#REF!</v>
      </c>
      <c r="S45" s="24"/>
    </row>
    <row r="46" spans="6:19" ht="13.5" thickBot="1">
      <c r="F46" s="61">
        <v>6000</v>
      </c>
      <c r="G46" s="1">
        <v>1415</v>
      </c>
      <c r="H46" s="1">
        <v>1455</v>
      </c>
      <c r="I46" s="1">
        <v>1490</v>
      </c>
      <c r="J46" s="1">
        <v>1535</v>
      </c>
      <c r="K46" s="67">
        <v>1570</v>
      </c>
      <c r="L46" s="22"/>
      <c r="N46" s="60">
        <v>40</v>
      </c>
      <c r="O46" s="47" t="e">
        <f>S39+(C12-O38)*(S41-S39)/(O40-O38)</f>
        <v>#REF!</v>
      </c>
      <c r="P46" s="47"/>
      <c r="Q46" s="48"/>
      <c r="S46" s="24"/>
    </row>
    <row r="47" spans="6:19">
      <c r="F47" s="61">
        <v>7000</v>
      </c>
      <c r="G47" s="1">
        <v>1455</v>
      </c>
      <c r="H47" s="1">
        <v>1495</v>
      </c>
      <c r="I47" s="1">
        <v>1535</v>
      </c>
      <c r="J47" s="1">
        <v>1575</v>
      </c>
      <c r="K47" s="67">
        <v>1615</v>
      </c>
      <c r="L47" s="22"/>
      <c r="S47" s="24"/>
    </row>
    <row r="48" spans="6:19" ht="12.75" thickBot="1">
      <c r="F48" s="62">
        <v>8000</v>
      </c>
      <c r="G48" s="63">
        <v>1500</v>
      </c>
      <c r="H48" s="63">
        <v>1540</v>
      </c>
      <c r="I48" s="63">
        <v>1580</v>
      </c>
      <c r="J48" s="63">
        <v>1620</v>
      </c>
      <c r="K48" s="68">
        <v>1665</v>
      </c>
      <c r="L48" s="46"/>
      <c r="M48" s="47"/>
      <c r="N48" s="47"/>
      <c r="O48" s="47"/>
      <c r="P48" s="47"/>
      <c r="Q48" s="47"/>
      <c r="R48" s="47"/>
      <c r="S48" s="48"/>
    </row>
  </sheetData>
  <sheetProtection password="B23B" sheet="1" objects="1" scenarios="1" selectLockedCells="1"/>
  <mergeCells count="6">
    <mergeCell ref="F37:K37"/>
    <mergeCell ref="A1:B1"/>
    <mergeCell ref="C1:D1"/>
    <mergeCell ref="F1:K1"/>
    <mergeCell ref="F13:K13"/>
    <mergeCell ref="F25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W&amp;B</vt:lpstr>
      <vt:lpstr>Performance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Skaggs</dc:creator>
  <cp:lastModifiedBy>Lake Elmo Aero</cp:lastModifiedBy>
  <cp:lastPrinted>2020-02-29T16:29:18Z</cp:lastPrinted>
  <dcterms:created xsi:type="dcterms:W3CDTF">2019-09-13T22:11:55Z</dcterms:created>
  <dcterms:modified xsi:type="dcterms:W3CDTF">2020-09-02T16:57:04Z</dcterms:modified>
</cp:coreProperties>
</file>