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25135" windowHeight="10132" tabRatio="474" activeTab="0"/>
  </bookViews>
  <sheets>
    <sheet name="W&amp;B" sheetId="1" r:id="rId1"/>
  </sheets>
  <definedNames>
    <definedName name="_xlnm.Print_Area" localSheetId="0">'W&amp;B'!$A$1:$E$41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<sst xmlns="http://schemas.openxmlformats.org/spreadsheetml/2006/main" count="40" uniqueCount="40">
  <si>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Weight and Balance </t>
  </si>
  <si>
    <t xml:space="preserve">1978 Piper PA28-161 </t>
  </si>
  <si>
    <t>N9555C</t>
  </si>
  <si>
    <t>Item</t>
  </si>
  <si>
    <t>Weight</t>
  </si>
  <si>
    <t>Arm</t>
  </si>
  <si>
    <t>Moment</t>
  </si>
  <si>
    <t>Aircraft Licensed Empty Weight</t>
  </si>
  <si>
    <t>Seat Occupancy Table:</t>
  </si>
  <si>
    <t>Fuel (48 Gallons Maximum)</t>
  </si>
  <si>
    <t>Pilot:</t>
  </si>
  <si>
    <t>Front Seats</t>
  </si>
  <si>
    <t>Copilot:</t>
  </si>
  <si>
    <t>Rear Seats</t>
  </si>
  <si>
    <t>Rear Left:</t>
  </si>
  <si>
    <t>Baggage Area  (200lbs Max)</t>
  </si>
  <si>
    <t>Rear Right:</t>
  </si>
  <si>
    <t>(N/A)</t>
  </si>
  <si>
    <t>Total</t>
  </si>
  <si>
    <t>Remaining Useful Load:</t>
  </si>
  <si>
    <t>USAGE:</t>
  </si>
  <si>
    <t>Fill out the areas in Yellow</t>
  </si>
  <si>
    <t>Normal Category</t>
  </si>
  <si>
    <t>Utility Category</t>
  </si>
  <si>
    <t>Center of Gravity</t>
  </si>
  <si>
    <t>Performance Calculator</t>
  </si>
  <si>
    <t>Weather Information:</t>
  </si>
  <si>
    <t>Performance:</t>
  </si>
  <si>
    <t>Field Elevation:</t>
  </si>
  <si>
    <t>Temperature  C:</t>
  </si>
  <si>
    <t>Dew Point C:</t>
  </si>
  <si>
    <t>Altimeter Setting:</t>
  </si>
  <si>
    <t>Wind Direction:</t>
  </si>
  <si>
    <t>Wind Speed:</t>
  </si>
  <si>
    <t>Runway Heading:</t>
  </si>
  <si>
    <t>Head Wind Component:</t>
  </si>
  <si>
    <t>X-Wind Component:</t>
  </si>
  <si>
    <t>Relative Humidity:</t>
  </si>
  <si>
    <t>Pressure Altitude:</t>
  </si>
  <si>
    <t>Density Altitude: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</si>
</sst>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&quot; gal&quot;"/>
    <numFmt numFmtId="166" formatCode="0.0&quot;  KT&quot;"/>
    <numFmt numFmtId="167" formatCode="#%"/>
    <numFmt numFmtId="168" formatCode="0&quot; Ft&quot;."/>
  </numFmts>
  <fonts count="46">
    <font>
      <sz val="9"/>
      <name val="Geneva"/>
      <family val="2"/>
    </font>
    <font>
      <sz val="10"/>
      <name val="Arial"/>
      <family val="0"/>
    </font>
    <font>
      <b/>
      <sz val="12"/>
      <name val="Geneva"/>
      <family val="2"/>
    </font>
    <font>
      <b/>
      <sz val="14"/>
      <name val="Geneva"/>
      <family val="2"/>
    </font>
    <font>
      <b/>
      <sz val="9"/>
      <name val="Geneva"/>
      <family val="2"/>
    </font>
    <font>
      <sz val="9"/>
      <color indexed="23"/>
      <name val="Geneva"/>
      <family val="2"/>
    </font>
    <font>
      <b/>
      <sz val="9"/>
      <color indexed="9"/>
      <name val="Geneva"/>
      <family val="2"/>
    </font>
    <font>
      <b/>
      <sz val="9"/>
      <color indexed="16"/>
      <name val="Geneva"/>
      <family val="2"/>
    </font>
    <font>
      <sz val="9"/>
      <color indexed="8"/>
      <name val="Geneva"/>
      <family val="0"/>
    </font>
    <font>
      <sz val="9.75"/>
      <color indexed="63"/>
      <name val="Geneva"/>
      <family val="0"/>
    </font>
    <font>
      <sz val="7.35"/>
      <color indexed="63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63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42" applyNumberFormat="1" applyFont="1" applyFill="1" applyBorder="1" applyAlignment="1" applyProtection="1">
      <alignment horizontal="right"/>
      <protection/>
    </xf>
    <xf numFmtId="4" fontId="5" fillId="0" borderId="0" xfId="42" applyNumberFormat="1" applyFont="1" applyFill="1" applyBorder="1" applyAlignment="1" applyProtection="1">
      <alignment horizontal="right"/>
      <protection/>
    </xf>
    <xf numFmtId="165" fontId="4" fillId="34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right"/>
    </xf>
    <xf numFmtId="0" fontId="4" fillId="34" borderId="13" xfId="0" applyFont="1" applyFill="1" applyBorder="1" applyAlignment="1">
      <alignment/>
    </xf>
    <xf numFmtId="4" fontId="4" fillId="35" borderId="13" xfId="42" applyNumberFormat="1" applyFont="1" applyFill="1" applyBorder="1" applyAlignment="1" applyProtection="1">
      <alignment horizontal="right"/>
      <protection/>
    </xf>
    <xf numFmtId="4" fontId="4" fillId="34" borderId="14" xfId="42" applyNumberFormat="1" applyFont="1" applyFill="1" applyBorder="1" applyAlignment="1" applyProtection="1">
      <alignment horizontal="right"/>
      <protection locked="0"/>
    </xf>
    <xf numFmtId="0" fontId="0" fillId="0" borderId="15" xfId="0" applyFont="1" applyBorder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4" fontId="0" fillId="35" borderId="18" xfId="42" applyNumberFormat="1" applyFont="1" applyFill="1" applyBorder="1" applyAlignment="1" applyProtection="1">
      <alignment horizontal="right"/>
      <protection locked="0"/>
    </xf>
    <xf numFmtId="4" fontId="0" fillId="35" borderId="17" xfId="42" applyNumberFormat="1" applyFont="1" applyFill="1" applyBorder="1" applyAlignment="1" applyProtection="1">
      <alignment horizontal="right"/>
      <protection/>
    </xf>
    <xf numFmtId="4" fontId="0" fillId="35" borderId="19" xfId="42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0" borderId="0" xfId="42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Alignment="1">
      <alignment horizontal="right" vertical="center"/>
    </xf>
    <xf numFmtId="0" fontId="0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Alignment="1">
      <alignment/>
    </xf>
    <xf numFmtId="0" fontId="4" fillId="0" borderId="22" xfId="0" applyFont="1" applyBorder="1" applyAlignment="1">
      <alignment horizontal="center"/>
    </xf>
    <xf numFmtId="0" fontId="6" fillId="36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168" fontId="0" fillId="0" borderId="28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36" borderId="22" xfId="0" applyFont="1" applyFill="1" applyBorder="1" applyAlignment="1">
      <alignment vertical="center"/>
    </xf>
    <xf numFmtId="0" fontId="2" fillId="33" borderId="30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sz val="9"/>
        <color indexed="8"/>
      </font>
    </dxf>
    <dxf>
      <font>
        <b/>
        <i val="0"/>
        <sz val="9"/>
        <color indexed="10"/>
      </font>
    </dxf>
    <dxf>
      <font>
        <b/>
        <i val="0"/>
        <sz val="9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9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sz val="9"/>
        <color rgb="FFFF0000"/>
      </font>
      <border/>
    </dxf>
    <dxf>
      <font>
        <b/>
        <i val="0"/>
        <sz val="9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1215"/>
          <c:w val="0.8865"/>
          <c:h val="0.8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'W&amp;B'!$B$17</c:f>
              <c:strCache>
                <c:ptCount val="1"/>
                <c:pt idx="0">
                  <c:v>Normal Category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'W&amp;B'!$B$18:$B$22</c:f>
              <c:numCache/>
            </c:numRef>
          </c:xVal>
          <c:yVal>
            <c:numRef>
              <c:f>'W&amp;B'!$C$18:$C$22</c:f>
              <c:numCache/>
            </c:numRef>
          </c:yVal>
          <c:smooth val="0"/>
        </c:ser>
        <c:ser>
          <c:idx val="2"/>
          <c:order val="1"/>
          <c:tx>
            <c:strRef>
              <c:f>'W&amp;B'!$D$17</c:f>
              <c:strCache>
                <c:ptCount val="1"/>
                <c:pt idx="0">
                  <c:v>Center of Gravity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'W&amp;B'!$D$9:$D$9</c:f>
              <c:numCache/>
            </c:numRef>
          </c:xVal>
          <c:yVal>
            <c:numRef>
              <c:f>'W&amp;B'!$C$9:$C$9</c:f>
              <c:numCache/>
            </c:numRef>
          </c:yVal>
          <c:smooth val="0"/>
        </c:ser>
        <c:axId val="41169483"/>
        <c:axId val="34981028"/>
      </c:scatterChart>
      <c:valAx>
        <c:axId val="41169483"/>
        <c:scaling>
          <c:orientation val="minMax"/>
          <c:max val="9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3C3C3C"/>
                    </a:solidFill>
                    <a:latin typeface="Geneva"/>
                    <a:ea typeface="Geneva"/>
                    <a:cs typeface="Geneva"/>
                  </a:rPr>
                  <a:t>Aircraft CG Location (Inches Aft of Datum)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3C3C3C"/>
                </a:solidFill>
                <a:latin typeface="Geneva"/>
                <a:ea typeface="Geneva"/>
                <a:cs typeface="Geneva"/>
              </a:defRPr>
            </a:pPr>
          </a:p>
        </c:txPr>
        <c:crossAx val="34981028"/>
        <c:crossesAt val="950"/>
        <c:crossBetween val="midCat"/>
        <c:dispUnits/>
        <c:majorUnit val="1"/>
        <c:minorUnit val="1"/>
      </c:valAx>
      <c:valAx>
        <c:axId val="34981028"/>
        <c:scaling>
          <c:orientation val="minMax"/>
          <c:max val="235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3C3C3C"/>
                    </a:solidFill>
                    <a:latin typeface="Geneva"/>
                    <a:ea typeface="Geneva"/>
                    <a:cs typeface="Geneva"/>
                  </a:rPr>
                  <a:t>Total Weight (lbs)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3C3C3C"/>
                </a:solidFill>
                <a:latin typeface="Geneva"/>
                <a:ea typeface="Geneva"/>
                <a:cs typeface="Geneva"/>
              </a:defRPr>
            </a:pPr>
          </a:p>
        </c:txPr>
        <c:crossAx val="41169483"/>
        <c:crossesAt val="0"/>
        <c:crossBetween val="midCat"/>
        <c:dispUnits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06975"/>
          <c:w val="0.93125"/>
          <c:h val="0.0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C3C3C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0.8495</cdr:y>
    </cdr:from>
    <cdr:to>
      <cdr:x>0.1545</cdr:x>
      <cdr:y>0.883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40195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1905000"/>
        <a:ext cx="7172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2"/>
  <sheetViews>
    <sheetView tabSelected="1" zoomScalePageLayoutView="0" workbookViewId="0" topLeftCell="A1">
      <selection activeCell="I7" sqref="I7"/>
    </sheetView>
  </sheetViews>
  <sheetFormatPr defaultColWidth="11.375" defaultRowHeight="12"/>
  <cols>
    <col min="1" max="1" width="31.375" style="0" customWidth="1"/>
    <col min="2" max="2" width="12.875" style="0" customWidth="1"/>
    <col min="3" max="3" width="13.875" style="1" customWidth="1"/>
    <col min="4" max="4" width="15.875" style="1" customWidth="1"/>
    <col min="5" max="5" width="20.125" style="1" customWidth="1"/>
    <col min="6" max="7" width="11.375" style="0" customWidth="1"/>
    <col min="8" max="8" width="15.625" style="0" customWidth="1"/>
    <col min="9" max="9" width="11.375" style="0" customWidth="1"/>
    <col min="10" max="10" width="23.875" style="0" customWidth="1"/>
  </cols>
  <sheetData>
    <row r="1" spans="1:12" ht="21" customHeight="1" thickBot="1">
      <c r="A1" s="54" t="s">
        <v>0</v>
      </c>
      <c r="B1" s="54"/>
      <c r="C1" s="55" t="s">
        <v>1</v>
      </c>
      <c r="D1" s="55"/>
      <c r="E1" s="2" t="s">
        <v>2</v>
      </c>
      <c r="F1" s="28" t="s">
        <v>8</v>
      </c>
      <c r="G1" s="26"/>
      <c r="H1" s="52" t="s">
        <v>25</v>
      </c>
      <c r="I1" s="52"/>
      <c r="J1" s="53"/>
      <c r="K1" s="53"/>
      <c r="L1" s="29"/>
    </row>
    <row r="2" spans="1:12" ht="15.75" customHeight="1">
      <c r="A2" s="3" t="s">
        <v>3</v>
      </c>
      <c r="B2" s="3"/>
      <c r="C2" s="4" t="s">
        <v>4</v>
      </c>
      <c r="D2" s="4" t="s">
        <v>5</v>
      </c>
      <c r="E2" s="4" t="s">
        <v>6</v>
      </c>
      <c r="F2" s="9" t="s">
        <v>10</v>
      </c>
      <c r="G2" s="10">
        <v>0</v>
      </c>
      <c r="H2" s="30" t="s">
        <v>26</v>
      </c>
      <c r="I2" s="31"/>
      <c r="J2" s="32" t="s">
        <v>27</v>
      </c>
      <c r="K2" s="33"/>
      <c r="L2" s="34"/>
    </row>
    <row r="3" spans="1:12" ht="15.75" customHeight="1" thickBot="1">
      <c r="A3" s="5" t="s">
        <v>7</v>
      </c>
      <c r="C3" s="6">
        <v>1468.6</v>
      </c>
      <c r="D3" s="7">
        <f>E3/C3</f>
        <v>87.33627264061012</v>
      </c>
      <c r="E3" s="6">
        <v>128262.05</v>
      </c>
      <c r="F3" s="9" t="s">
        <v>12</v>
      </c>
      <c r="G3" s="10">
        <v>0</v>
      </c>
      <c r="H3" s="35" t="s">
        <v>28</v>
      </c>
      <c r="I3" s="36">
        <v>933</v>
      </c>
      <c r="J3" s="37"/>
      <c r="K3" s="38"/>
      <c r="L3" s="34"/>
    </row>
    <row r="4" spans="1:12" ht="18.75" customHeight="1" thickBot="1">
      <c r="A4" t="s">
        <v>9</v>
      </c>
      <c r="B4" s="8">
        <v>48</v>
      </c>
      <c r="C4" s="7">
        <f>6.8*B4</f>
        <v>326.4</v>
      </c>
      <c r="D4" s="6">
        <v>95</v>
      </c>
      <c r="E4" s="7">
        <f>C4*D4</f>
        <v>31007.999999999996</v>
      </c>
      <c r="F4" s="9" t="s">
        <v>14</v>
      </c>
      <c r="G4" s="10">
        <v>0</v>
      </c>
      <c r="H4" s="35" t="s">
        <v>29</v>
      </c>
      <c r="I4" s="36">
        <v>15</v>
      </c>
      <c r="J4" s="37"/>
      <c r="K4" s="37"/>
      <c r="L4" s="34"/>
    </row>
    <row r="5" spans="1:12" ht="15.75" customHeight="1" thickBot="1">
      <c r="A5" t="s">
        <v>11</v>
      </c>
      <c r="C5" s="11">
        <f>SUM(G2,G3)</f>
        <v>0</v>
      </c>
      <c r="D5" s="6">
        <v>80.5</v>
      </c>
      <c r="E5" s="7">
        <f>C5*D5</f>
        <v>0</v>
      </c>
      <c r="F5" s="13" t="s">
        <v>16</v>
      </c>
      <c r="G5" s="10">
        <v>0</v>
      </c>
      <c r="H5" s="35" t="s">
        <v>30</v>
      </c>
      <c r="I5" s="36">
        <v>15</v>
      </c>
      <c r="J5" s="37"/>
      <c r="K5" s="37"/>
      <c r="L5" s="34"/>
    </row>
    <row r="6" spans="1:12" ht="15.75" customHeight="1" thickBot="1">
      <c r="A6" t="s">
        <v>13</v>
      </c>
      <c r="C6" s="11">
        <f>SUM(G4,G5)</f>
        <v>0</v>
      </c>
      <c r="D6" s="6">
        <v>118.1</v>
      </c>
      <c r="E6" s="7">
        <f>C6*D6</f>
        <v>0</v>
      </c>
      <c r="H6" s="35" t="s">
        <v>31</v>
      </c>
      <c r="I6" s="36">
        <v>29.92</v>
      </c>
      <c r="J6" s="37"/>
      <c r="K6" s="37"/>
      <c r="L6" s="34"/>
    </row>
    <row r="7" spans="1:12" ht="15.75" customHeight="1" thickBot="1">
      <c r="A7" t="s">
        <v>15</v>
      </c>
      <c r="C7" s="12">
        <v>0</v>
      </c>
      <c r="D7" s="6">
        <v>142.8</v>
      </c>
      <c r="E7" s="7">
        <f>C7*D7</f>
        <v>0</v>
      </c>
      <c r="F7" s="51" t="s">
        <v>19</v>
      </c>
      <c r="G7" s="27"/>
      <c r="H7" s="35" t="s">
        <v>32</v>
      </c>
      <c r="I7" s="36">
        <v>0</v>
      </c>
      <c r="J7" s="39"/>
      <c r="K7" s="40"/>
      <c r="L7" s="41"/>
    </row>
    <row r="8" spans="1:12" ht="15.75" customHeight="1" thickBot="1">
      <c r="A8" s="14" t="s">
        <v>17</v>
      </c>
      <c r="B8" s="15"/>
      <c r="C8" s="16"/>
      <c r="D8" s="17"/>
      <c r="E8" s="18"/>
      <c r="F8" s="57">
        <f>C21-C9</f>
        <v>530</v>
      </c>
      <c r="G8" s="58"/>
      <c r="H8" s="35" t="s">
        <v>33</v>
      </c>
      <c r="I8" s="36">
        <v>0</v>
      </c>
      <c r="J8" s="37"/>
      <c r="K8" s="37"/>
      <c r="L8" s="34"/>
    </row>
    <row r="9" spans="1:12" ht="15.75" customHeight="1">
      <c r="A9" s="19" t="s">
        <v>18</v>
      </c>
      <c r="B9" s="20"/>
      <c r="C9" s="21">
        <f>SUM(C3:C8)</f>
        <v>1795</v>
      </c>
      <c r="D9" s="21">
        <f>E9/C9</f>
        <v>88.72983286908077</v>
      </c>
      <c r="E9" s="22">
        <f>SUM(E3:E8)</f>
        <v>159270.05</v>
      </c>
      <c r="H9" s="35" t="s">
        <v>34</v>
      </c>
      <c r="I9" s="36">
        <v>140</v>
      </c>
      <c r="J9" s="39" t="s">
        <v>35</v>
      </c>
      <c r="K9" s="42">
        <f>I8*COS(RADIANS(ABS(I7-I9)))</f>
        <v>0</v>
      </c>
      <c r="L9" s="34"/>
    </row>
    <row r="10" spans="1:12" s="20" customFormat="1" ht="19.5" customHeight="1">
      <c r="A10"/>
      <c r="B10"/>
      <c r="C10" s="1"/>
      <c r="D10" s="1"/>
      <c r="E10" s="1"/>
      <c r="F10" s="56" t="s">
        <v>20</v>
      </c>
      <c r="G10" s="56"/>
      <c r="H10" s="35"/>
      <c r="I10" s="43"/>
      <c r="J10" s="39" t="s">
        <v>36</v>
      </c>
      <c r="K10" s="44">
        <f>I8*SIN(RADIANS(ABS(I9-I7)))</f>
        <v>0</v>
      </c>
      <c r="L10" s="34"/>
    </row>
    <row r="11" spans="6:12" ht="11.25">
      <c r="F11" s="23" t="s">
        <v>21</v>
      </c>
      <c r="G11" s="24"/>
      <c r="H11" s="35" t="s">
        <v>37</v>
      </c>
      <c r="I11" s="45">
        <f>(((112-0.1*I4)+I5)/(112+(0.9*I4)))^8</f>
        <v>1</v>
      </c>
      <c r="J11" s="40"/>
      <c r="K11" s="40"/>
      <c r="L11" s="41"/>
    </row>
    <row r="12" spans="8:12" ht="11.25">
      <c r="H12" s="35" t="s">
        <v>38</v>
      </c>
      <c r="I12" s="46">
        <f>(29.92-I6)*1000+I3</f>
        <v>933</v>
      </c>
      <c r="J12" s="40"/>
      <c r="K12" s="40"/>
      <c r="L12" s="41"/>
    </row>
    <row r="13" spans="8:12" ht="11.25">
      <c r="H13" s="47" t="s">
        <v>39</v>
      </c>
      <c r="I13" s="48">
        <f>I12+((288.15-0.0019812*I12)/0.0019812)*(1-((288.15-0.0019812*I12)/(273.15+I4))^0.234969)</f>
        <v>1151.3562728083925</v>
      </c>
      <c r="J13" s="49"/>
      <c r="K13" s="49"/>
      <c r="L13" s="50"/>
    </row>
    <row r="17" spans="2:8" ht="11.25">
      <c r="B17" t="s">
        <v>22</v>
      </c>
      <c r="C17" s="1" t="s">
        <v>23</v>
      </c>
      <c r="D17" s="1" t="s">
        <v>24</v>
      </c>
      <c r="G17" s="25"/>
      <c r="H17" s="25"/>
    </row>
    <row r="18" spans="1:8" ht="11.25">
      <c r="A18" s="1"/>
      <c r="B18" s="1">
        <v>83</v>
      </c>
      <c r="C18" s="1">
        <v>1200</v>
      </c>
      <c r="D18"/>
      <c r="E18"/>
      <c r="G18" s="25"/>
      <c r="H18" s="25"/>
    </row>
    <row r="19" spans="1:7" ht="11.25">
      <c r="A19" s="1"/>
      <c r="B19" s="1">
        <v>83</v>
      </c>
      <c r="C19" s="1">
        <v>1950</v>
      </c>
      <c r="D19"/>
      <c r="G19" s="25"/>
    </row>
    <row r="20" spans="1:7" ht="11.25">
      <c r="A20" s="1"/>
      <c r="B20" s="1">
        <v>87</v>
      </c>
      <c r="C20" s="1">
        <v>2325</v>
      </c>
      <c r="D20"/>
      <c r="G20" s="25"/>
    </row>
    <row r="21" spans="1:7" ht="11.25">
      <c r="A21" s="1"/>
      <c r="B21" s="1">
        <v>93</v>
      </c>
      <c r="C21" s="1">
        <v>2325</v>
      </c>
      <c r="D21"/>
      <c r="G21" s="25"/>
    </row>
    <row r="22" spans="1:7" ht="11.25">
      <c r="A22" s="1"/>
      <c r="B22" s="1">
        <v>93</v>
      </c>
      <c r="C22" s="1">
        <v>1200</v>
      </c>
      <c r="D22"/>
      <c r="G22" s="25"/>
    </row>
  </sheetData>
  <sheetProtection selectLockedCells="1" selectUnlockedCells="1"/>
  <mergeCells count="6">
    <mergeCell ref="H1:I1"/>
    <mergeCell ref="J1:K1"/>
    <mergeCell ref="A1:B1"/>
    <mergeCell ref="C1:D1"/>
    <mergeCell ref="F10:G10"/>
    <mergeCell ref="F8:G8"/>
  </mergeCells>
  <conditionalFormatting sqref="F8">
    <cfRule type="cellIs" priority="1" dxfId="3" operator="lessThan" stopIfTrue="1">
      <formula>5</formula>
    </cfRule>
    <cfRule type="cellIs" priority="2" dxfId="4" operator="between" stopIfTrue="1">
      <formula>5</formula>
      <formula>10</formula>
    </cfRule>
    <cfRule type="cellIs" priority="3" dxfId="5" operator="greaterThan" stopIfTrue="1">
      <formula>10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</cp:lastModifiedBy>
  <dcterms:modified xsi:type="dcterms:W3CDTF">2018-12-27T21:44:09Z</dcterms:modified>
  <cp:category/>
  <cp:version/>
  <cp:contentType/>
  <cp:contentStatus/>
</cp:coreProperties>
</file>